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17-18\11 May 2018\"/>
    </mc:Choice>
  </mc:AlternateContent>
  <xr:revisionPtr revIDLastSave="0" documentId="13_ncr:1_{97E314EE-8433-4907-9E37-F88DF9A7866C}" xr6:coauthVersionLast="31" xr6:coauthVersionMax="31" xr10:uidLastSave="{00000000-0000-0000-0000-000000000000}"/>
  <bookViews>
    <workbookView xWindow="0" yWindow="0" windowWidth="15090" windowHeight="6255" tabRatio="692" firstSheet="5" activeTab="12"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CCO County" sheetId="27" r:id="rId6"/>
    <sheet name="MH Expend" sheetId="31" r:id="rId7"/>
    <sheet name="MH by BHO" sheetId="32" r:id="rId8"/>
    <sheet name="CBHP Expend" sheetId="33" r:id="rId9"/>
    <sheet name="CBHP Caseload" sheetId="15" r:id="rId10"/>
    <sheet name="DiDD Expend and Caseload" sheetId="24" r:id="rId11"/>
    <sheet name="OAP Expend and Caseload" sheetId="20" r:id="rId12"/>
    <sheet name="MMA Expend and Caseload" sheetId="21" r:id="rId13"/>
    <sheet name="Expansion Expenditure" sheetId="28" state="hidden" r:id="rId14"/>
    <sheet name="Medicaid Caseload Adjusted" sheetId="34" state="hidden" r:id="rId15"/>
    <sheet name="Caseload by Program Adjusted" sheetId="37" state="hidden" r:id="rId16"/>
    <sheet name="Graph for Web- DO NOT PRINT" sheetId="23" state="hidden" r:id="rId17"/>
  </sheets>
  <externalReferences>
    <externalReference r:id="rId18"/>
    <externalReference r:id="rId19"/>
    <externalReference r:id="rId20"/>
    <externalReference r:id="rId21"/>
    <externalReference r:id="rId22"/>
    <externalReference r:id="rId23"/>
    <externalReference r:id="rId24"/>
  </externalReferences>
  <definedNames>
    <definedName name="_ra1" localSheetId="15">'[1]% Cost Covd'!#REF!</definedName>
    <definedName name="_ra1" localSheetId="8">'[1]% Cost Covd'!#REF!</definedName>
    <definedName name="_ra1" localSheetId="2">'[1]% Cost Covd'!#REF!</definedName>
    <definedName name="_ra1" localSheetId="3">'[1]% Cost Covd'!#REF!</definedName>
    <definedName name="_ra1" localSheetId="14">'[1]% Cost Covd'!#REF!</definedName>
    <definedName name="_ra1" localSheetId="7">'[1]% Cost Covd'!#REF!</definedName>
    <definedName name="_ra1" localSheetId="6">'[1]% Cost Covd'!#REF!</definedName>
    <definedName name="_ra1" localSheetId="0">'[1]% Cost Covd'!#REF!</definedName>
    <definedName name="_ra1">'[1]% Cost Covd'!#REF!</definedName>
    <definedName name="mec" localSheetId="15">'[1]% Cost Covd'!#REF!</definedName>
    <definedName name="mec" localSheetId="8">'[1]% Cost Covd'!#REF!</definedName>
    <definedName name="mec" localSheetId="2">'[1]% Cost Covd'!#REF!</definedName>
    <definedName name="mec" localSheetId="3">'[1]% Cost Covd'!#REF!</definedName>
    <definedName name="mec" localSheetId="14">'[1]% Cost Covd'!#REF!</definedName>
    <definedName name="mec" localSheetId="7">'[1]% Cost Covd'!#REF!</definedName>
    <definedName name="mec" localSheetId="6">'[1]% Cost Covd'!#REF!</definedName>
    <definedName name="mec" localSheetId="0">'[1]% Cost Covd'!#REF!</definedName>
    <definedName name="mec">'[1]% Cost Covd'!#REF!</definedName>
    <definedName name="MedEdCap" localSheetId="15">'[2]% Cost Covd'!#REF!</definedName>
    <definedName name="MedEdCap" localSheetId="8">'[2]% Cost Covd'!#REF!</definedName>
    <definedName name="MedEdCap" localSheetId="3">'[2]% Cost Covd'!#REF!</definedName>
    <definedName name="MedEdCap" localSheetId="14">'[2]% Cost Covd'!#REF!</definedName>
    <definedName name="MedEdCap" localSheetId="7">'[2]% Cost Covd'!#REF!</definedName>
    <definedName name="MedEdCap" localSheetId="6">'[2]% Cost Covd'!#REF!</definedName>
    <definedName name="MedEdCap" localSheetId="0">'[2]% Cost Covd'!#REF!</definedName>
    <definedName name="MedEdCap">'[2]% Cost Covd'!#REF!</definedName>
    <definedName name="mm" localSheetId="15">'[1]% Cost Covd'!#REF!</definedName>
    <definedName name="mm" localSheetId="8">'[1]% Cost Covd'!#REF!</definedName>
    <definedName name="mm" localSheetId="14">'[1]% Cost Covd'!#REF!</definedName>
    <definedName name="mm" localSheetId="7">'[1]% Cost Covd'!#REF!</definedName>
    <definedName name="mm" localSheetId="6">'[1]% Cost Covd'!#REF!</definedName>
    <definedName name="mm" localSheetId="0">'[1]% Cost Covd'!#REF!</definedName>
    <definedName name="mm">'[1]% Cost Covd'!#REF!</definedName>
    <definedName name="nn" localSheetId="15">'[1]% Cost Covd'!#REF!</definedName>
    <definedName name="nn" localSheetId="8">'[1]% Cost Covd'!#REF!</definedName>
    <definedName name="nn" localSheetId="14">'[1]% Cost Covd'!#REF!</definedName>
    <definedName name="nn" localSheetId="7">'[1]% Cost Covd'!#REF!</definedName>
    <definedName name="nn" localSheetId="6">'[1]% Cost Covd'!#REF!</definedName>
    <definedName name="nn" localSheetId="0">'[1]% Cost Covd'!#REF!</definedName>
    <definedName name="nn">'[1]% Cost Covd'!#REF!</definedName>
    <definedName name="_xlnm.Print_Area" localSheetId="5">'ACC RCCO County'!$B$2:$P$85</definedName>
    <definedName name="_xlnm.Print_Area" localSheetId="4">'Caseload by Program'!$A$1:$Q$122</definedName>
    <definedName name="_xlnm.Print_Area" localSheetId="15">'Caseload by Program Adjusted'!$A$1:$Q$122</definedName>
    <definedName name="_xlnm.Print_Area" localSheetId="9">'CBHP Caseload'!$B$1:$J$129</definedName>
    <definedName name="_xlnm.Print_Area" localSheetId="8">'CBHP Expend'!$A$1:$E$23</definedName>
    <definedName name="_xlnm.Print_Area" localSheetId="10">'DiDD Expend and Caseload'!$A$1:$Q$38</definedName>
    <definedName name="_xlnm.Print_Area" localSheetId="13">'Expansion Expenditure'!$B$2:$Q$39,'Expansion Expenditure'!$B$41:$Q$78,'Expansion Expenditure'!$B$80:$Q$117</definedName>
    <definedName name="_xlnm.Print_Area" localSheetId="2">'Hospital Supplemental Payments'!$A$2:$O$12</definedName>
    <definedName name="_xlnm.Print_Area" localSheetId="3">'Medicaid Caseload'!$B$1:$R$136</definedName>
    <definedName name="_xlnm.Print_Area" localSheetId="14">'Medicaid Caseload Adjusted'!$B$1:$R$136</definedName>
    <definedName name="_xlnm.Print_Area" localSheetId="7">'MH by BHO'!$A$1:$I$44</definedName>
    <definedName name="_xlnm.Print_Area" localSheetId="6">'MH Expend'!$A$1:$D$23</definedName>
    <definedName name="_xlnm.Print_Area" localSheetId="12">'MMA Expend and Caseload'!$A$1:$C$22</definedName>
    <definedName name="_xlnm.Print_Area" localSheetId="11">'OAP Expend and Caseload'!$A$1:$C$36</definedName>
    <definedName name="_xlnm.Print_Area" localSheetId="1">'Premiums Approp'!$B$3:$C$16</definedName>
    <definedName name="_xlnm.Print_Area" localSheetId="0">'Premiums Expend'!$A$1:$O$64</definedName>
    <definedName name="_xlnm.Print_Titles" localSheetId="5">'ACC RCCO County'!$2:$3</definedName>
    <definedName name="_xlnm.Print_Titles" localSheetId="4">'Caseload by Program'!$2:$2</definedName>
    <definedName name="_xlnm.Print_Titles" localSheetId="15">'Caseload by Program Adjusted'!$2:$2</definedName>
    <definedName name="rahc" localSheetId="15">'[1]% Cost Covd'!#REF!</definedName>
    <definedName name="rahc" localSheetId="8">'[1]% Cost Covd'!#REF!</definedName>
    <definedName name="rahc" localSheetId="2">'[1]% Cost Covd'!#REF!</definedName>
    <definedName name="rahc" localSheetId="14">'[1]% Cost Covd'!#REF!</definedName>
    <definedName name="rahc" localSheetId="7">'[1]% Cost Covd'!#REF!</definedName>
    <definedName name="rahc" localSheetId="6">'[1]% Cost Covd'!#REF!</definedName>
    <definedName name="rahc" localSheetId="0">'[1]% Cost Covd'!#REF!</definedName>
    <definedName name="rahc">'[1]% Cost Covd'!#REF!</definedName>
    <definedName name="rcap1" localSheetId="15">'[1]% Cost Covd'!#REF!</definedName>
    <definedName name="rcap1" localSheetId="8">'[1]% Cost Covd'!#REF!</definedName>
    <definedName name="rcap1" localSheetId="2">'[1]% Cost Covd'!#REF!</definedName>
    <definedName name="rcap1" localSheetId="14">'[1]% Cost Covd'!#REF!</definedName>
    <definedName name="rcap1" localSheetId="7">'[1]% Cost Covd'!#REF!</definedName>
    <definedName name="rcap1" localSheetId="6">'[1]% Cost Covd'!#REF!</definedName>
    <definedName name="rcap1" localSheetId="0">'[1]% Cost Covd'!#REF!</definedName>
    <definedName name="rcap1">'[1]% Cost Covd'!#REF!</definedName>
    <definedName name="rcc" localSheetId="15">'[1]% Cost Covd'!#REF!</definedName>
    <definedName name="rcc" localSheetId="8">'[1]% Cost Covd'!#REF!</definedName>
    <definedName name="rcc" localSheetId="2">'[1]% Cost Covd'!#REF!</definedName>
    <definedName name="rcc" localSheetId="14">'[1]% Cost Covd'!#REF!</definedName>
    <definedName name="rcc" localSheetId="7">'[1]% Cost Covd'!#REF!</definedName>
    <definedName name="rcc" localSheetId="6">'[1]% Cost Covd'!#REF!</definedName>
    <definedName name="rcc" localSheetId="0">'[1]% Cost Covd'!#REF!</definedName>
    <definedName name="rcc">'[1]% Cost Covd'!#REF!</definedName>
    <definedName name="rr" localSheetId="15">'[1]% Cost Covd'!#REF!</definedName>
    <definedName name="rr" localSheetId="8">'[1]% Cost Covd'!#REF!</definedName>
    <definedName name="rr" localSheetId="2">'[1]% Cost Covd'!#REF!</definedName>
    <definedName name="rr" localSheetId="14">'[1]% Cost Covd'!#REF!</definedName>
    <definedName name="rr" localSheetId="7">'[1]% Cost Covd'!#REF!</definedName>
    <definedName name="rr" localSheetId="6">'[1]% Cost Covd'!#REF!</definedName>
    <definedName name="rr" localSheetId="0">'[1]% Cost Covd'!#REF!</definedName>
    <definedName name="rr">'[1]% Cost Covd'!#REF!</definedName>
    <definedName name="RurAncil1" localSheetId="15">'[2]% Cost Covd'!#REF!</definedName>
    <definedName name="RurAncil1" localSheetId="8">'[2]% Cost Covd'!#REF!</definedName>
    <definedName name="RurAncil1" localSheetId="14">'[2]% Cost Covd'!#REF!</definedName>
    <definedName name="RurAncil1" localSheetId="7">'[2]% Cost Covd'!#REF!</definedName>
    <definedName name="RurAncil1" localSheetId="6">'[2]% Cost Covd'!#REF!</definedName>
    <definedName name="RurAncil1" localSheetId="0">'[2]% Cost Covd'!#REF!</definedName>
    <definedName name="RurAncil1">'[2]% Cost Covd'!#REF!</definedName>
    <definedName name="RurAncilHospCap" localSheetId="15">'[2]% Cost Covd'!#REF!</definedName>
    <definedName name="RurAncilHospCap" localSheetId="8">'[2]% Cost Covd'!#REF!</definedName>
    <definedName name="RurAncilHospCap" localSheetId="14">'[2]% Cost Covd'!#REF!</definedName>
    <definedName name="RurAncilHospCap" localSheetId="7">'[2]% Cost Covd'!#REF!</definedName>
    <definedName name="RurAncilHospCap" localSheetId="6">'[2]% Cost Covd'!#REF!</definedName>
    <definedName name="RurAncilHospCap" localSheetId="0">'[2]% Cost Covd'!#REF!</definedName>
    <definedName name="RurAncilHospCap">'[2]% Cost Covd'!#REF!</definedName>
    <definedName name="RurCaptl1" localSheetId="15">'[2]% Cost Covd'!#REF!</definedName>
    <definedName name="RurCaptl1" localSheetId="8">'[2]% Cost Covd'!#REF!</definedName>
    <definedName name="RurCaptl1" localSheetId="14">'[2]% Cost Covd'!#REF!</definedName>
    <definedName name="RurCaptl1" localSheetId="7">'[2]% Cost Covd'!#REF!</definedName>
    <definedName name="RurCaptl1" localSheetId="6">'[2]% Cost Covd'!#REF!</definedName>
    <definedName name="RurCaptl1" localSheetId="0">'[2]% Cost Covd'!#REF!</definedName>
    <definedName name="RurCaptl1">'[2]% Cost Covd'!#REF!</definedName>
    <definedName name="RurCaptlHospCap" localSheetId="15">'[2]% Cost Covd'!#REF!</definedName>
    <definedName name="RurCaptlHospCap" localSheetId="8">'[2]% Cost Covd'!#REF!</definedName>
    <definedName name="RurCaptlHospCap" localSheetId="14">'[2]% Cost Covd'!#REF!</definedName>
    <definedName name="RurCaptlHospCap" localSheetId="7">'[2]% Cost Covd'!#REF!</definedName>
    <definedName name="RurCaptlHospCap" localSheetId="6">'[2]% Cost Covd'!#REF!</definedName>
    <definedName name="RurCaptlHospCap" localSheetId="0">'[2]% Cost Covd'!#REF!</definedName>
    <definedName name="RurCaptlHospCap">'[2]% Cost Covd'!#REF!</definedName>
    <definedName name="RurMeded1" localSheetId="15">'[2]% Cost Covd'!#REF!</definedName>
    <definedName name="RurMeded1" localSheetId="8">'[2]% Cost Covd'!#REF!</definedName>
    <definedName name="RurMeded1" localSheetId="14">'[2]% Cost Covd'!#REF!</definedName>
    <definedName name="RurMeded1" localSheetId="7">'[2]% Cost Covd'!#REF!</definedName>
    <definedName name="RurMeded1" localSheetId="6">'[2]% Cost Covd'!#REF!</definedName>
    <definedName name="RurMeded1" localSheetId="0">'[2]% Cost Covd'!#REF!</definedName>
    <definedName name="RurMeded1">'[2]% Cost Covd'!#REF!</definedName>
    <definedName name="RurMededHospCap" localSheetId="15">'[2]% Cost Covd'!#REF!</definedName>
    <definedName name="RurMededHospCap" localSheetId="8">'[2]% Cost Covd'!#REF!</definedName>
    <definedName name="RurMededHospCap" localSheetId="14">'[2]% Cost Covd'!#REF!</definedName>
    <definedName name="RurMededHospCap" localSheetId="7">'[2]% Cost Covd'!#REF!</definedName>
    <definedName name="RurMededHospCap" localSheetId="6">'[2]% Cost Covd'!#REF!</definedName>
    <definedName name="RurMededHospCap" localSheetId="0">'[2]% Cost Covd'!#REF!</definedName>
    <definedName name="RurMededHospCap">'[2]% Cost Covd'!#REF!</definedName>
    <definedName name="RurRout1" localSheetId="15">'[2]% Cost Covd'!#REF!</definedName>
    <definedName name="RurRout1" localSheetId="8">'[2]% Cost Covd'!#REF!</definedName>
    <definedName name="RurRout1" localSheetId="14">'[2]% Cost Covd'!#REF!</definedName>
    <definedName name="RurRout1" localSheetId="7">'[2]% Cost Covd'!#REF!</definedName>
    <definedName name="RurRout1" localSheetId="6">'[2]% Cost Covd'!#REF!</definedName>
    <definedName name="RurRout1" localSheetId="0">'[2]% Cost Covd'!#REF!</definedName>
    <definedName name="RurRout1">'[2]% Cost Covd'!#REF!</definedName>
    <definedName name="RurRoutHospCap" localSheetId="15">'[2]% Cost Covd'!#REF!</definedName>
    <definedName name="RurRoutHospCap" localSheetId="8">'[2]% Cost Covd'!#REF!</definedName>
    <definedName name="RurRoutHospCap" localSheetId="14">'[2]% Cost Covd'!#REF!</definedName>
    <definedName name="RurRoutHospCap" localSheetId="7">'[2]% Cost Covd'!#REF!</definedName>
    <definedName name="RurRoutHospCap" localSheetId="6">'[2]% Cost Covd'!#REF!</definedName>
    <definedName name="RurRoutHospCap" localSheetId="0">'[2]% Cost Covd'!#REF!</definedName>
    <definedName name="RurRoutHospCap">'[2]% Cost Covd'!#REF!</definedName>
    <definedName name="trwe" localSheetId="15">'[1]% Cost Covd'!#REF!</definedName>
    <definedName name="trwe" localSheetId="8">'[1]% Cost Covd'!#REF!</definedName>
    <definedName name="trwe" localSheetId="14">'[1]% Cost Covd'!#REF!</definedName>
    <definedName name="trwe" localSheetId="7">'[1]% Cost Covd'!#REF!</definedName>
    <definedName name="trwe" localSheetId="6">'[1]% Cost Covd'!#REF!</definedName>
    <definedName name="trwe" localSheetId="0">'[1]% Cost Covd'!#REF!</definedName>
    <definedName name="trwe">'[1]% Cost Covd'!#REF!</definedName>
  </definedNames>
  <calcPr calcId="179017"/>
</workbook>
</file>

<file path=xl/calcChain.xml><?xml version="1.0" encoding="utf-8"?>
<calcChain xmlns="http://schemas.openxmlformats.org/spreadsheetml/2006/main">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A101" i="37"/>
  <c r="Q100" i="37"/>
  <c r="P100" i="37"/>
  <c r="O100" i="37"/>
  <c r="N100" i="37"/>
  <c r="M100" i="37"/>
  <c r="L100" i="37"/>
  <c r="K100" i="37"/>
  <c r="J100" i="37"/>
  <c r="I100" i="37"/>
  <c r="G100" i="37"/>
  <c r="F100" i="37"/>
  <c r="E100" i="37"/>
  <c r="D100" i="37"/>
  <c r="C100" i="37"/>
  <c r="B100" i="37"/>
  <c r="A100" i="37"/>
  <c r="Q99" i="37"/>
  <c r="P99" i="37"/>
  <c r="O99" i="37"/>
  <c r="N99" i="37"/>
  <c r="M99" i="37"/>
  <c r="L99" i="37"/>
  <c r="K99" i="37"/>
  <c r="J99" i="37"/>
  <c r="I99" i="37"/>
  <c r="G99" i="37"/>
  <c r="F99" i="37"/>
  <c r="E99" i="37"/>
  <c r="D99" i="37"/>
  <c r="C99" i="37"/>
  <c r="B99" i="37"/>
  <c r="A99" i="37"/>
  <c r="Q98" i="37"/>
  <c r="P98" i="37"/>
  <c r="O98" i="37"/>
  <c r="N98" i="37"/>
  <c r="M98" i="37"/>
  <c r="L98" i="37"/>
  <c r="K98" i="37"/>
  <c r="J98" i="37"/>
  <c r="I98" i="37"/>
  <c r="G98" i="37"/>
  <c r="F98" i="37"/>
  <c r="E98" i="37"/>
  <c r="D98" i="37"/>
  <c r="C98" i="37"/>
  <c r="B98" i="37"/>
  <c r="A98" i="37"/>
  <c r="Q97" i="37"/>
  <c r="P97" i="37"/>
  <c r="O97" i="37"/>
  <c r="N97" i="37"/>
  <c r="M97" i="37"/>
  <c r="L97" i="37"/>
  <c r="K97" i="37"/>
  <c r="J97" i="37"/>
  <c r="I97" i="37"/>
  <c r="G97" i="37"/>
  <c r="F97" i="37"/>
  <c r="E97" i="37"/>
  <c r="D97" i="37"/>
  <c r="C97" i="37"/>
  <c r="B97" i="37"/>
  <c r="A97" i="37"/>
  <c r="Q96" i="37"/>
  <c r="P96" i="37"/>
  <c r="O96" i="37"/>
  <c r="N96" i="37"/>
  <c r="M96" i="37"/>
  <c r="L96" i="37"/>
  <c r="K96" i="37"/>
  <c r="J96" i="37"/>
  <c r="I96" i="37"/>
  <c r="H96" i="37"/>
  <c r="G96" i="37"/>
  <c r="F96" i="37"/>
  <c r="E96" i="37"/>
  <c r="D96" i="37"/>
  <c r="C96" i="37"/>
  <c r="B96" i="37"/>
  <c r="A96" i="37"/>
  <c r="Q95" i="37"/>
  <c r="P95" i="37"/>
  <c r="O95" i="37"/>
  <c r="N95" i="37"/>
  <c r="M95" i="37"/>
  <c r="L95" i="37"/>
  <c r="K95" i="37"/>
  <c r="J95" i="37"/>
  <c r="I95" i="37"/>
  <c r="H95" i="37"/>
  <c r="G95" i="37"/>
  <c r="F95" i="37"/>
  <c r="E95" i="37"/>
  <c r="D95" i="37"/>
  <c r="C95" i="37"/>
  <c r="B95" i="37"/>
  <c r="A95" i="37"/>
  <c r="Q94" i="37"/>
  <c r="P94" i="37"/>
  <c r="O94" i="37"/>
  <c r="N94" i="37"/>
  <c r="M94" i="37"/>
  <c r="L94" i="37"/>
  <c r="K94" i="37"/>
  <c r="J94" i="37"/>
  <c r="I94" i="37"/>
  <c r="H94" i="37"/>
  <c r="G94" i="37"/>
  <c r="F94" i="37"/>
  <c r="E94" i="37"/>
  <c r="D94" i="37"/>
  <c r="C94" i="37"/>
  <c r="B94" i="37"/>
  <c r="A94" i="37"/>
  <c r="Q93" i="37"/>
  <c r="P93" i="37"/>
  <c r="O93" i="37"/>
  <c r="N93" i="37"/>
  <c r="M93" i="37"/>
  <c r="L93" i="37"/>
  <c r="K93" i="37"/>
  <c r="J93" i="37"/>
  <c r="I93" i="37"/>
  <c r="H93" i="37"/>
  <c r="G93" i="37"/>
  <c r="F93" i="37"/>
  <c r="E93" i="37"/>
  <c r="D93" i="37"/>
  <c r="C93" i="37"/>
  <c r="B93" i="37"/>
  <c r="A93" i="37"/>
  <c r="Q92" i="37"/>
  <c r="P92" i="37"/>
  <c r="O92" i="37"/>
  <c r="N92" i="37"/>
  <c r="M92" i="37"/>
  <c r="L92" i="37"/>
  <c r="K92" i="37"/>
  <c r="J92" i="37"/>
  <c r="I92" i="37"/>
  <c r="H92" i="37"/>
  <c r="G92" i="37"/>
  <c r="F92" i="37"/>
  <c r="E92" i="37"/>
  <c r="D92" i="37"/>
  <c r="C92" i="37"/>
  <c r="B92" i="37"/>
  <c r="A92" i="37"/>
  <c r="Q91" i="37"/>
  <c r="P91" i="37"/>
  <c r="O91" i="37"/>
  <c r="N91" i="37"/>
  <c r="M91" i="37"/>
  <c r="L91" i="37"/>
  <c r="K91" i="37"/>
  <c r="J91" i="37"/>
  <c r="I91" i="37"/>
  <c r="H91" i="37"/>
  <c r="G91" i="37"/>
  <c r="F91" i="37"/>
  <c r="E91" i="37"/>
  <c r="D91" i="37"/>
  <c r="C91" i="37"/>
  <c r="B91" i="37"/>
  <c r="A91" i="37"/>
  <c r="Q90" i="37"/>
  <c r="P90" i="37"/>
  <c r="O90" i="37"/>
  <c r="N90" i="37"/>
  <c r="M90" i="37"/>
  <c r="L90" i="37"/>
  <c r="K90" i="37"/>
  <c r="J90" i="37"/>
  <c r="I90" i="37"/>
  <c r="H90" i="37"/>
  <c r="G90" i="37"/>
  <c r="F90" i="37"/>
  <c r="E90" i="37"/>
  <c r="D90" i="37"/>
  <c r="C90" i="37"/>
  <c r="B90" i="37"/>
  <c r="A90" i="37"/>
  <c r="Q89" i="37"/>
  <c r="P89" i="37"/>
  <c r="O89" i="37"/>
  <c r="N89" i="37"/>
  <c r="M89" i="37"/>
  <c r="L89" i="37"/>
  <c r="K89" i="37"/>
  <c r="J89" i="37"/>
  <c r="I89" i="37"/>
  <c r="H89" i="37"/>
  <c r="G89" i="37"/>
  <c r="F89" i="37"/>
  <c r="E89" i="37"/>
  <c r="D89" i="37"/>
  <c r="C89" i="37"/>
  <c r="B89" i="37"/>
  <c r="A89" i="37"/>
  <c r="A86" i="37"/>
  <c r="Q85" i="37"/>
  <c r="P85" i="37"/>
  <c r="O85" i="37"/>
  <c r="N85" i="37"/>
  <c r="M85" i="37"/>
  <c r="L85" i="37"/>
  <c r="K85" i="37"/>
  <c r="J85" i="37"/>
  <c r="I85" i="37"/>
  <c r="G85" i="37"/>
  <c r="F85" i="37"/>
  <c r="E85" i="37"/>
  <c r="D85" i="37"/>
  <c r="C85" i="37"/>
  <c r="B85" i="37"/>
  <c r="A85" i="37"/>
  <c r="Q84" i="37"/>
  <c r="P84" i="37"/>
  <c r="O84" i="37"/>
  <c r="N84" i="37"/>
  <c r="M84" i="37"/>
  <c r="L84" i="37"/>
  <c r="K84" i="37"/>
  <c r="J84" i="37"/>
  <c r="I84" i="37"/>
  <c r="G84" i="37"/>
  <c r="F84" i="37"/>
  <c r="E84" i="37"/>
  <c r="D84" i="37"/>
  <c r="C84" i="37"/>
  <c r="B84" i="37"/>
  <c r="A84" i="37"/>
  <c r="Q83" i="37"/>
  <c r="P83" i="37"/>
  <c r="O83" i="37"/>
  <c r="N83" i="37"/>
  <c r="M83" i="37"/>
  <c r="L83" i="37"/>
  <c r="K83" i="37"/>
  <c r="J83" i="37"/>
  <c r="I83" i="37"/>
  <c r="G83" i="37"/>
  <c r="F83" i="37"/>
  <c r="E83" i="37"/>
  <c r="D83" i="37"/>
  <c r="C83" i="37"/>
  <c r="B83" i="37"/>
  <c r="A83" i="37"/>
  <c r="Q82" i="37"/>
  <c r="P82" i="37"/>
  <c r="O82" i="37"/>
  <c r="N82" i="37"/>
  <c r="M82" i="37"/>
  <c r="L82" i="37"/>
  <c r="K82" i="37"/>
  <c r="J82" i="37"/>
  <c r="I82" i="37"/>
  <c r="G82" i="37"/>
  <c r="F82" i="37"/>
  <c r="E82" i="37"/>
  <c r="D82" i="37"/>
  <c r="C82" i="37"/>
  <c r="B82" i="37"/>
  <c r="A82" i="37"/>
  <c r="Q81" i="37"/>
  <c r="P81" i="37"/>
  <c r="O81" i="37"/>
  <c r="N81" i="37"/>
  <c r="M81" i="37"/>
  <c r="L81" i="37"/>
  <c r="K81" i="37"/>
  <c r="J81" i="37"/>
  <c r="I81" i="37"/>
  <c r="H81" i="37"/>
  <c r="G81" i="37"/>
  <c r="F81" i="37"/>
  <c r="E81" i="37"/>
  <c r="D81" i="37"/>
  <c r="C81" i="37"/>
  <c r="B81" i="37"/>
  <c r="A81" i="37"/>
  <c r="Q80" i="37"/>
  <c r="P80" i="37"/>
  <c r="O80" i="37"/>
  <c r="N80" i="37"/>
  <c r="M80" i="37"/>
  <c r="L80" i="37"/>
  <c r="K80" i="37"/>
  <c r="J80" i="37"/>
  <c r="I80" i="37"/>
  <c r="H80" i="37"/>
  <c r="G80" i="37"/>
  <c r="F80" i="37"/>
  <c r="E80" i="37"/>
  <c r="D80" i="37"/>
  <c r="C80" i="37"/>
  <c r="B80" i="37"/>
  <c r="A80" i="37"/>
  <c r="Q79" i="37"/>
  <c r="P79" i="37"/>
  <c r="O79" i="37"/>
  <c r="N79" i="37"/>
  <c r="M79" i="37"/>
  <c r="L79" i="37"/>
  <c r="K79" i="37"/>
  <c r="J79" i="37"/>
  <c r="I79" i="37"/>
  <c r="H79" i="37"/>
  <c r="G79" i="37"/>
  <c r="F79" i="37"/>
  <c r="E79" i="37"/>
  <c r="D79" i="37"/>
  <c r="C79" i="37"/>
  <c r="B79" i="37"/>
  <c r="A79" i="37"/>
  <c r="Q78" i="37"/>
  <c r="P78" i="37"/>
  <c r="O78" i="37"/>
  <c r="N78" i="37"/>
  <c r="M78" i="37"/>
  <c r="L78" i="37"/>
  <c r="K78" i="37"/>
  <c r="J78" i="37"/>
  <c r="I78" i="37"/>
  <c r="H78" i="37"/>
  <c r="G78" i="37"/>
  <c r="F78" i="37"/>
  <c r="E78" i="37"/>
  <c r="D78" i="37"/>
  <c r="C78" i="37"/>
  <c r="B78" i="37"/>
  <c r="A78" i="37"/>
  <c r="Q77" i="37"/>
  <c r="P77" i="37"/>
  <c r="O77" i="37"/>
  <c r="N77" i="37"/>
  <c r="M77" i="37"/>
  <c r="L77" i="37"/>
  <c r="K77" i="37"/>
  <c r="J77" i="37"/>
  <c r="I77" i="37"/>
  <c r="H77" i="37"/>
  <c r="G77" i="37"/>
  <c r="F77" i="37"/>
  <c r="E77" i="37"/>
  <c r="D77" i="37"/>
  <c r="C77" i="37"/>
  <c r="B77" i="37"/>
  <c r="A77" i="37"/>
  <c r="Q76" i="37"/>
  <c r="P76" i="37"/>
  <c r="O76" i="37"/>
  <c r="N76" i="37"/>
  <c r="M76" i="37"/>
  <c r="L76" i="37"/>
  <c r="K76" i="37"/>
  <c r="J76" i="37"/>
  <c r="I76" i="37"/>
  <c r="H76" i="37"/>
  <c r="G76" i="37"/>
  <c r="F76" i="37"/>
  <c r="E76" i="37"/>
  <c r="D76" i="37"/>
  <c r="C76" i="37"/>
  <c r="B76" i="37"/>
  <c r="A76" i="37"/>
  <c r="Q75" i="37"/>
  <c r="P75" i="37"/>
  <c r="O75" i="37"/>
  <c r="N75" i="37"/>
  <c r="M75" i="37"/>
  <c r="L75" i="37"/>
  <c r="K75" i="37"/>
  <c r="J75" i="37"/>
  <c r="I75" i="37"/>
  <c r="H75" i="37"/>
  <c r="G75" i="37"/>
  <c r="F75" i="37"/>
  <c r="E75" i="37"/>
  <c r="D75" i="37"/>
  <c r="C75" i="37"/>
  <c r="B75" i="37"/>
  <c r="A75" i="37"/>
  <c r="Q74" i="37"/>
  <c r="P74" i="37"/>
  <c r="O74" i="37"/>
  <c r="N74" i="37"/>
  <c r="M74" i="37"/>
  <c r="L74" i="37"/>
  <c r="K74" i="37"/>
  <c r="J74" i="37"/>
  <c r="I74" i="37"/>
  <c r="H74" i="37"/>
  <c r="G74" i="37"/>
  <c r="F74" i="37"/>
  <c r="E74" i="37"/>
  <c r="D74" i="37"/>
  <c r="C74" i="37"/>
  <c r="B74" i="37"/>
  <c r="A74" i="37"/>
  <c r="A72" i="37"/>
  <c r="Q71" i="37"/>
  <c r="P71" i="37"/>
  <c r="O71" i="37"/>
  <c r="N71" i="37"/>
  <c r="M71" i="37"/>
  <c r="L71" i="37"/>
  <c r="K71" i="37"/>
  <c r="J71" i="37"/>
  <c r="I71" i="37"/>
  <c r="G71" i="37"/>
  <c r="F71" i="37"/>
  <c r="E71" i="37"/>
  <c r="D71" i="37"/>
  <c r="C71" i="37"/>
  <c r="B71" i="37"/>
  <c r="A71" i="37"/>
  <c r="Q70" i="37"/>
  <c r="P70" i="37"/>
  <c r="O70" i="37"/>
  <c r="N70" i="37"/>
  <c r="M70" i="37"/>
  <c r="L70" i="37"/>
  <c r="K70" i="37"/>
  <c r="J70" i="37"/>
  <c r="I70" i="37"/>
  <c r="G70" i="37"/>
  <c r="F70" i="37"/>
  <c r="E70" i="37"/>
  <c r="D70" i="37"/>
  <c r="C70" i="37"/>
  <c r="B70" i="37"/>
  <c r="A70" i="37"/>
  <c r="Q69" i="37"/>
  <c r="P69" i="37"/>
  <c r="O69" i="37"/>
  <c r="N69" i="37"/>
  <c r="M69" i="37"/>
  <c r="L69" i="37"/>
  <c r="K69" i="37"/>
  <c r="J69" i="37"/>
  <c r="I69" i="37"/>
  <c r="G69" i="37"/>
  <c r="F69" i="37"/>
  <c r="E69" i="37"/>
  <c r="D69" i="37"/>
  <c r="C69" i="37"/>
  <c r="B69" i="37"/>
  <c r="A69" i="37"/>
  <c r="Q68" i="37"/>
  <c r="P68" i="37"/>
  <c r="O68" i="37"/>
  <c r="N68" i="37"/>
  <c r="M68" i="37"/>
  <c r="L68" i="37"/>
  <c r="K68" i="37"/>
  <c r="J68" i="37"/>
  <c r="I68" i="37"/>
  <c r="G68" i="37"/>
  <c r="F68" i="37"/>
  <c r="E68" i="37"/>
  <c r="D68" i="37"/>
  <c r="C68" i="37"/>
  <c r="B68" i="37"/>
  <c r="A68" i="37"/>
  <c r="Q67" i="37"/>
  <c r="P67" i="37"/>
  <c r="O67" i="37"/>
  <c r="N67" i="37"/>
  <c r="M67" i="37"/>
  <c r="L67" i="37"/>
  <c r="K67" i="37"/>
  <c r="J67" i="37"/>
  <c r="I67" i="37"/>
  <c r="H67" i="37"/>
  <c r="G67" i="37"/>
  <c r="F67" i="37"/>
  <c r="E67" i="37"/>
  <c r="D67" i="37"/>
  <c r="C67" i="37"/>
  <c r="B67" i="37"/>
  <c r="A67" i="37"/>
  <c r="Q66" i="37"/>
  <c r="P66" i="37"/>
  <c r="O66" i="37"/>
  <c r="N66" i="37"/>
  <c r="M66" i="37"/>
  <c r="L66" i="37"/>
  <c r="K66" i="37"/>
  <c r="J66" i="37"/>
  <c r="I66" i="37"/>
  <c r="H66" i="37"/>
  <c r="G66" i="37"/>
  <c r="F66" i="37"/>
  <c r="E66" i="37"/>
  <c r="D66" i="37"/>
  <c r="C66" i="37"/>
  <c r="B66" i="37"/>
  <c r="A66" i="37"/>
  <c r="Q65" i="37"/>
  <c r="P65" i="37"/>
  <c r="O65" i="37"/>
  <c r="N65" i="37"/>
  <c r="M65" i="37"/>
  <c r="L65" i="37"/>
  <c r="K65" i="37"/>
  <c r="J65" i="37"/>
  <c r="I65" i="37"/>
  <c r="H65" i="37"/>
  <c r="G65" i="37"/>
  <c r="F65" i="37"/>
  <c r="E65" i="37"/>
  <c r="D65" i="37"/>
  <c r="C65" i="37"/>
  <c r="B65" i="37"/>
  <c r="A65" i="37"/>
  <c r="Q64" i="37"/>
  <c r="P64" i="37"/>
  <c r="O64" i="37"/>
  <c r="N64" i="37"/>
  <c r="M64" i="37"/>
  <c r="L64" i="37"/>
  <c r="K64" i="37"/>
  <c r="J64" i="37"/>
  <c r="I64" i="37"/>
  <c r="H64" i="37"/>
  <c r="G64" i="37"/>
  <c r="F64" i="37"/>
  <c r="E64" i="37"/>
  <c r="D64" i="37"/>
  <c r="C64" i="37"/>
  <c r="B64" i="37"/>
  <c r="A64" i="37"/>
  <c r="Q63" i="37"/>
  <c r="P63" i="37"/>
  <c r="O63" i="37"/>
  <c r="N63" i="37"/>
  <c r="M63" i="37"/>
  <c r="L63" i="37"/>
  <c r="K63" i="37"/>
  <c r="J63" i="37"/>
  <c r="I63" i="37"/>
  <c r="H63" i="37"/>
  <c r="G63" i="37"/>
  <c r="F63" i="37"/>
  <c r="E63" i="37"/>
  <c r="D63" i="37"/>
  <c r="C63" i="37"/>
  <c r="B63" i="37"/>
  <c r="A63" i="37"/>
  <c r="Q62" i="37"/>
  <c r="P62" i="37"/>
  <c r="O62" i="37"/>
  <c r="N62" i="37"/>
  <c r="M62" i="37"/>
  <c r="L62" i="37"/>
  <c r="K62" i="37"/>
  <c r="J62" i="37"/>
  <c r="I62" i="37"/>
  <c r="H62" i="37"/>
  <c r="G62" i="37"/>
  <c r="F62" i="37"/>
  <c r="E62" i="37"/>
  <c r="D62" i="37"/>
  <c r="C62" i="37"/>
  <c r="B62" i="37"/>
  <c r="A62" i="37"/>
  <c r="Q61" i="37"/>
  <c r="P61" i="37"/>
  <c r="O61" i="37"/>
  <c r="N61" i="37"/>
  <c r="M61" i="37"/>
  <c r="L61" i="37"/>
  <c r="K61" i="37"/>
  <c r="J61" i="37"/>
  <c r="I61" i="37"/>
  <c r="H61" i="37"/>
  <c r="G61" i="37"/>
  <c r="F61" i="37"/>
  <c r="E61" i="37"/>
  <c r="D61" i="37"/>
  <c r="C61" i="37"/>
  <c r="B61" i="37"/>
  <c r="A61" i="37"/>
  <c r="Q60" i="37"/>
  <c r="P60" i="37"/>
  <c r="O60" i="37"/>
  <c r="N60" i="37"/>
  <c r="M60" i="37"/>
  <c r="L60" i="37"/>
  <c r="K60" i="37"/>
  <c r="J60" i="37"/>
  <c r="I60" i="37"/>
  <c r="H60" i="37"/>
  <c r="G60" i="37"/>
  <c r="F60" i="37"/>
  <c r="E60" i="37"/>
  <c r="D60" i="37"/>
  <c r="C60" i="37"/>
  <c r="B60" i="37"/>
  <c r="A60" i="37"/>
  <c r="A58" i="37"/>
  <c r="Q57" i="37"/>
  <c r="P57" i="37"/>
  <c r="O57" i="37"/>
  <c r="N57" i="37"/>
  <c r="M57" i="37"/>
  <c r="L57" i="37"/>
  <c r="K57" i="37"/>
  <c r="J57" i="37"/>
  <c r="I57" i="37"/>
  <c r="G57" i="37"/>
  <c r="F57" i="37"/>
  <c r="E57" i="37"/>
  <c r="D57" i="37"/>
  <c r="C57" i="37"/>
  <c r="B57" i="37"/>
  <c r="A57" i="37"/>
  <c r="Q56" i="37"/>
  <c r="P56" i="37"/>
  <c r="O56" i="37"/>
  <c r="N56" i="37"/>
  <c r="M56" i="37"/>
  <c r="L56" i="37"/>
  <c r="K56" i="37"/>
  <c r="J56" i="37"/>
  <c r="I56" i="37"/>
  <c r="G56" i="37"/>
  <c r="F56" i="37"/>
  <c r="E56" i="37"/>
  <c r="D56" i="37"/>
  <c r="C56" i="37"/>
  <c r="B56" i="37"/>
  <c r="A56" i="37"/>
  <c r="Q55" i="37"/>
  <c r="P55" i="37"/>
  <c r="O55" i="37"/>
  <c r="N55" i="37"/>
  <c r="M55" i="37"/>
  <c r="L55" i="37"/>
  <c r="K55" i="37"/>
  <c r="J55" i="37"/>
  <c r="I55" i="37"/>
  <c r="G55" i="37"/>
  <c r="F55" i="37"/>
  <c r="E55" i="37"/>
  <c r="D55" i="37"/>
  <c r="C55" i="37"/>
  <c r="B55" i="37"/>
  <c r="A55" i="37"/>
  <c r="Q54" i="37"/>
  <c r="P54" i="37"/>
  <c r="O54" i="37"/>
  <c r="N54" i="37"/>
  <c r="M54" i="37"/>
  <c r="L54" i="37"/>
  <c r="K54" i="37"/>
  <c r="J54" i="37"/>
  <c r="I54" i="37"/>
  <c r="G54" i="37"/>
  <c r="F54" i="37"/>
  <c r="E54" i="37"/>
  <c r="D54" i="37"/>
  <c r="C54" i="37"/>
  <c r="B54" i="37"/>
  <c r="A54" i="37"/>
  <c r="Q53" i="37"/>
  <c r="P53" i="37"/>
  <c r="O53" i="37"/>
  <c r="N53" i="37"/>
  <c r="M53" i="37"/>
  <c r="L53" i="37"/>
  <c r="K53" i="37"/>
  <c r="J53" i="37"/>
  <c r="I53" i="37"/>
  <c r="H53" i="37"/>
  <c r="G53" i="37"/>
  <c r="F53" i="37"/>
  <c r="E53" i="37"/>
  <c r="D53" i="37"/>
  <c r="C53" i="37"/>
  <c r="B53" i="37"/>
  <c r="A53" i="37"/>
  <c r="Q52" i="37"/>
  <c r="P52" i="37"/>
  <c r="O52" i="37"/>
  <c r="N52" i="37"/>
  <c r="M52" i="37"/>
  <c r="L52" i="37"/>
  <c r="K52" i="37"/>
  <c r="J52" i="37"/>
  <c r="I52" i="37"/>
  <c r="H52" i="37"/>
  <c r="G52" i="37"/>
  <c r="F52" i="37"/>
  <c r="E52" i="37"/>
  <c r="D52" i="37"/>
  <c r="C52" i="37"/>
  <c r="B52" i="37"/>
  <c r="A52" i="37"/>
  <c r="Q51" i="37"/>
  <c r="P51" i="37"/>
  <c r="O51" i="37"/>
  <c r="N51" i="37"/>
  <c r="M51" i="37"/>
  <c r="L51" i="37"/>
  <c r="K51" i="37"/>
  <c r="J51" i="37"/>
  <c r="I51" i="37"/>
  <c r="H51" i="37"/>
  <c r="G51" i="37"/>
  <c r="F51" i="37"/>
  <c r="E51" i="37"/>
  <c r="D51" i="37"/>
  <c r="C51" i="37"/>
  <c r="B51" i="37"/>
  <c r="A51" i="37"/>
  <c r="Q50" i="37"/>
  <c r="P50" i="37"/>
  <c r="O50" i="37"/>
  <c r="N50" i="37"/>
  <c r="M50" i="37"/>
  <c r="L50" i="37"/>
  <c r="K50" i="37"/>
  <c r="J50" i="37"/>
  <c r="I50" i="37"/>
  <c r="H50" i="37"/>
  <c r="G50" i="37"/>
  <c r="F50" i="37"/>
  <c r="E50" i="37"/>
  <c r="D50" i="37"/>
  <c r="C50" i="37"/>
  <c r="B50" i="37"/>
  <c r="A50" i="37"/>
  <c r="Q49" i="37"/>
  <c r="P49" i="37"/>
  <c r="O49" i="37"/>
  <c r="N49" i="37"/>
  <c r="M49" i="37"/>
  <c r="L49" i="37"/>
  <c r="K49" i="37"/>
  <c r="J49" i="37"/>
  <c r="I49" i="37"/>
  <c r="H49" i="37"/>
  <c r="G49" i="37"/>
  <c r="F49" i="37"/>
  <c r="E49" i="37"/>
  <c r="D49" i="37"/>
  <c r="C49" i="37"/>
  <c r="B49" i="37"/>
  <c r="A49" i="37"/>
  <c r="Q48" i="37"/>
  <c r="P48" i="37"/>
  <c r="O48" i="37"/>
  <c r="N48" i="37"/>
  <c r="M48" i="37"/>
  <c r="L48" i="37"/>
  <c r="K48" i="37"/>
  <c r="J48" i="37"/>
  <c r="I48" i="37"/>
  <c r="H48" i="37"/>
  <c r="G48" i="37"/>
  <c r="F48" i="37"/>
  <c r="E48" i="37"/>
  <c r="D48" i="37"/>
  <c r="C48" i="37"/>
  <c r="B48" i="37"/>
  <c r="A48" i="37"/>
  <c r="Q47" i="37"/>
  <c r="P47" i="37"/>
  <c r="O47" i="37"/>
  <c r="N47" i="37"/>
  <c r="M47" i="37"/>
  <c r="L47" i="37"/>
  <c r="K47" i="37"/>
  <c r="J47" i="37"/>
  <c r="I47" i="37"/>
  <c r="H47" i="37"/>
  <c r="G47" i="37"/>
  <c r="F47" i="37"/>
  <c r="E47" i="37"/>
  <c r="D47" i="37"/>
  <c r="C47" i="37"/>
  <c r="B47" i="37"/>
  <c r="A47" i="37"/>
  <c r="Q46" i="37"/>
  <c r="P46" i="37"/>
  <c r="O46" i="37"/>
  <c r="N46" i="37"/>
  <c r="M46" i="37"/>
  <c r="L46" i="37"/>
  <c r="K46" i="37"/>
  <c r="J46" i="37"/>
  <c r="I46" i="37"/>
  <c r="H46" i="37"/>
  <c r="G46" i="37"/>
  <c r="F46" i="37"/>
  <c r="E46" i="37"/>
  <c r="D46" i="37"/>
  <c r="C46" i="37"/>
  <c r="B46" i="37"/>
  <c r="A46" i="37"/>
  <c r="A44" i="37"/>
  <c r="Q43" i="37"/>
  <c r="P43" i="37"/>
  <c r="O43" i="37"/>
  <c r="N43" i="37"/>
  <c r="M43" i="37"/>
  <c r="L43" i="37"/>
  <c r="K43" i="37"/>
  <c r="J43" i="37"/>
  <c r="I43" i="37"/>
  <c r="G43" i="37"/>
  <c r="F43" i="37"/>
  <c r="E43" i="37"/>
  <c r="D43" i="37"/>
  <c r="C43" i="37"/>
  <c r="B43" i="37"/>
  <c r="A43" i="37"/>
  <c r="Q42" i="37"/>
  <c r="P42" i="37"/>
  <c r="O42" i="37"/>
  <c r="N42" i="37"/>
  <c r="M42" i="37"/>
  <c r="L42" i="37"/>
  <c r="K42" i="37"/>
  <c r="J42" i="37"/>
  <c r="I42" i="37"/>
  <c r="G42" i="37"/>
  <c r="F42" i="37"/>
  <c r="E42" i="37"/>
  <c r="D42" i="37"/>
  <c r="C42" i="37"/>
  <c r="B42" i="37"/>
  <c r="A42" i="37"/>
  <c r="Q41" i="37"/>
  <c r="P41" i="37"/>
  <c r="O41" i="37"/>
  <c r="N41" i="37"/>
  <c r="M41" i="37"/>
  <c r="L41" i="37"/>
  <c r="K41" i="37"/>
  <c r="J41" i="37"/>
  <c r="I41" i="37"/>
  <c r="G41" i="37"/>
  <c r="F41" i="37"/>
  <c r="E41" i="37"/>
  <c r="D41" i="37"/>
  <c r="C41" i="37"/>
  <c r="B41" i="37"/>
  <c r="A41" i="37"/>
  <c r="Q40" i="37"/>
  <c r="P40" i="37"/>
  <c r="O40" i="37"/>
  <c r="N40" i="37"/>
  <c r="M40" i="37"/>
  <c r="L40" i="37"/>
  <c r="K40" i="37"/>
  <c r="J40" i="37"/>
  <c r="I40" i="37"/>
  <c r="G40" i="37"/>
  <c r="F40" i="37"/>
  <c r="E40" i="37"/>
  <c r="D40" i="37"/>
  <c r="C40" i="37"/>
  <c r="B40" i="37"/>
  <c r="A40" i="37"/>
  <c r="Q39" i="37"/>
  <c r="P39" i="37"/>
  <c r="O39" i="37"/>
  <c r="N39" i="37"/>
  <c r="M39" i="37"/>
  <c r="L39" i="37"/>
  <c r="K39" i="37"/>
  <c r="J39" i="37"/>
  <c r="I39" i="37"/>
  <c r="H39" i="37"/>
  <c r="G39" i="37"/>
  <c r="F39" i="37"/>
  <c r="E39" i="37"/>
  <c r="D39" i="37"/>
  <c r="C39" i="37"/>
  <c r="B39" i="37"/>
  <c r="A39" i="37"/>
  <c r="T38" i="37"/>
  <c r="Q38" i="37"/>
  <c r="P38" i="37"/>
  <c r="O38" i="37"/>
  <c r="N38" i="37"/>
  <c r="M38" i="37"/>
  <c r="L38" i="37"/>
  <c r="K38" i="37"/>
  <c r="J38" i="37"/>
  <c r="I38" i="37"/>
  <c r="H38" i="37"/>
  <c r="G38" i="37"/>
  <c r="F38" i="37"/>
  <c r="E38" i="37"/>
  <c r="D38" i="37"/>
  <c r="C38" i="37"/>
  <c r="B38" i="37"/>
  <c r="A38" i="37"/>
  <c r="Q37" i="37"/>
  <c r="P37" i="37"/>
  <c r="O37" i="37"/>
  <c r="N37" i="37"/>
  <c r="M37" i="37"/>
  <c r="L37" i="37"/>
  <c r="K37" i="37"/>
  <c r="J37" i="37"/>
  <c r="I37" i="37"/>
  <c r="H37" i="37"/>
  <c r="G37" i="37"/>
  <c r="F37" i="37"/>
  <c r="E37" i="37"/>
  <c r="D37" i="37"/>
  <c r="C37" i="37"/>
  <c r="B37" i="37"/>
  <c r="A37" i="37"/>
  <c r="Q36" i="37"/>
  <c r="P36" i="37"/>
  <c r="O36" i="37"/>
  <c r="N36" i="37"/>
  <c r="M36" i="37"/>
  <c r="L36" i="37"/>
  <c r="K36" i="37"/>
  <c r="J36" i="37"/>
  <c r="I36" i="37"/>
  <c r="H36" i="37"/>
  <c r="G36" i="37"/>
  <c r="F36" i="37"/>
  <c r="E36" i="37"/>
  <c r="D36" i="37"/>
  <c r="C36" i="37"/>
  <c r="B36" i="37"/>
  <c r="A36" i="37"/>
  <c r="Q35" i="37"/>
  <c r="P35" i="37"/>
  <c r="O35" i="37"/>
  <c r="N35" i="37"/>
  <c r="M35" i="37"/>
  <c r="L35" i="37"/>
  <c r="K35" i="37"/>
  <c r="J35" i="37"/>
  <c r="I35" i="37"/>
  <c r="H35" i="37"/>
  <c r="G35" i="37"/>
  <c r="F35" i="37"/>
  <c r="E35" i="37"/>
  <c r="D35" i="37"/>
  <c r="C35" i="37"/>
  <c r="B35" i="37"/>
  <c r="A35" i="37"/>
  <c r="Q34" i="37"/>
  <c r="P34" i="37"/>
  <c r="O34" i="37"/>
  <c r="N34" i="37"/>
  <c r="M34" i="37"/>
  <c r="L34" i="37"/>
  <c r="K34" i="37"/>
  <c r="J34" i="37"/>
  <c r="I34" i="37"/>
  <c r="H34" i="37"/>
  <c r="G34" i="37"/>
  <c r="F34" i="37"/>
  <c r="E34" i="37"/>
  <c r="D34" i="37"/>
  <c r="C34" i="37"/>
  <c r="B34" i="37"/>
  <c r="A34" i="37"/>
  <c r="Q33" i="37"/>
  <c r="P33" i="37"/>
  <c r="O33" i="37"/>
  <c r="N33" i="37"/>
  <c r="M33" i="37"/>
  <c r="L33" i="37"/>
  <c r="K33" i="37"/>
  <c r="J33" i="37"/>
  <c r="I33" i="37"/>
  <c r="H33" i="37"/>
  <c r="G33" i="37"/>
  <c r="F33" i="37"/>
  <c r="E33" i="37"/>
  <c r="D33" i="37"/>
  <c r="C33" i="37"/>
  <c r="B33" i="37"/>
  <c r="A33" i="37"/>
  <c r="Q32" i="37"/>
  <c r="P32" i="37"/>
  <c r="O32" i="37"/>
  <c r="N32" i="37"/>
  <c r="M32" i="37"/>
  <c r="L32" i="37"/>
  <c r="K32" i="37"/>
  <c r="J32" i="37"/>
  <c r="I32" i="37"/>
  <c r="H32" i="37"/>
  <c r="G32" i="37"/>
  <c r="F32" i="37"/>
  <c r="E32" i="37"/>
  <c r="D32" i="37"/>
  <c r="C32" i="37"/>
  <c r="B32" i="37"/>
  <c r="A32" i="37"/>
  <c r="A30" i="37"/>
  <c r="R29" i="37"/>
  <c r="A29" i="37"/>
  <c r="R28" i="37"/>
  <c r="A28" i="37"/>
  <c r="R27" i="37"/>
  <c r="A27" i="37"/>
  <c r="R26" i="37"/>
  <c r="A26" i="37"/>
  <c r="R25" i="37"/>
  <c r="A25" i="37"/>
  <c r="R24" i="37"/>
  <c r="A24" i="37"/>
  <c r="R23" i="37"/>
  <c r="A23" i="37"/>
  <c r="R22" i="37"/>
  <c r="A22" i="37"/>
  <c r="R21" i="37"/>
  <c r="A21" i="37"/>
  <c r="R20" i="37"/>
  <c r="A20" i="37"/>
  <c r="R19" i="37"/>
  <c r="A19" i="37"/>
  <c r="A18" i="37"/>
  <c r="R15" i="37"/>
  <c r="R14" i="37"/>
  <c r="R13" i="37"/>
  <c r="R12" i="37"/>
  <c r="R11" i="37"/>
  <c r="R10" i="37"/>
  <c r="R9" i="37"/>
  <c r="R8" i="37"/>
  <c r="R7" i="37"/>
  <c r="R6" i="37"/>
  <c r="R5" i="37"/>
  <c r="L171" i="34"/>
  <c r="L170" i="34"/>
  <c r="L169" i="34"/>
  <c r="L168" i="34"/>
  <c r="M168" i="34" s="1"/>
  <c r="L167" i="34"/>
  <c r="L166" i="34"/>
  <c r="M166" i="34" s="1"/>
  <c r="L165" i="34"/>
  <c r="M165" i="34" s="1"/>
  <c r="N164" i="34"/>
  <c r="L164" i="34"/>
  <c r="L163" i="34"/>
  <c r="L162" i="34"/>
  <c r="M162" i="34" s="1"/>
  <c r="L161" i="34"/>
  <c r="M161" i="34" s="1"/>
  <c r="I161" i="34"/>
  <c r="L160" i="34"/>
  <c r="M160" i="34" s="1"/>
  <c r="Q157" i="34"/>
  <c r="P157" i="34"/>
  <c r="N157" i="34"/>
  <c r="M157" i="34"/>
  <c r="L157" i="34"/>
  <c r="K157" i="34"/>
  <c r="I157" i="34"/>
  <c r="H157" i="34"/>
  <c r="G157" i="34"/>
  <c r="E157" i="34"/>
  <c r="D157" i="34"/>
  <c r="C157" i="34"/>
  <c r="Q156" i="34"/>
  <c r="P156" i="34"/>
  <c r="N156" i="34"/>
  <c r="M156" i="34"/>
  <c r="L156" i="34"/>
  <c r="K156" i="34"/>
  <c r="I156" i="34"/>
  <c r="H156" i="34"/>
  <c r="G156" i="34"/>
  <c r="E156" i="34"/>
  <c r="D156" i="34"/>
  <c r="C156" i="34"/>
  <c r="Q155" i="34"/>
  <c r="P155" i="34"/>
  <c r="N155" i="34"/>
  <c r="M155" i="34"/>
  <c r="L155" i="34"/>
  <c r="K155" i="34"/>
  <c r="I155" i="34"/>
  <c r="H155" i="34"/>
  <c r="G155" i="34"/>
  <c r="E155" i="34"/>
  <c r="D155" i="34"/>
  <c r="C155" i="34"/>
  <c r="Q154" i="34"/>
  <c r="P154" i="34"/>
  <c r="N154" i="34"/>
  <c r="M154" i="34"/>
  <c r="L154" i="34"/>
  <c r="K154" i="34"/>
  <c r="I154" i="34"/>
  <c r="H154" i="34"/>
  <c r="G154" i="34"/>
  <c r="E154" i="34"/>
  <c r="D154" i="34"/>
  <c r="C154" i="34"/>
  <c r="Q153" i="34"/>
  <c r="P153" i="34"/>
  <c r="N153" i="34"/>
  <c r="M153" i="34"/>
  <c r="L153" i="34"/>
  <c r="K153" i="34"/>
  <c r="I153" i="34"/>
  <c r="H153" i="34"/>
  <c r="G153" i="34"/>
  <c r="E153" i="34"/>
  <c r="D153" i="34"/>
  <c r="C153" i="34"/>
  <c r="V152" i="34"/>
  <c r="Q152" i="34"/>
  <c r="P152" i="34"/>
  <c r="N152" i="34"/>
  <c r="M152" i="34"/>
  <c r="L152" i="34"/>
  <c r="K152" i="34"/>
  <c r="I152" i="34"/>
  <c r="H152" i="34"/>
  <c r="G152" i="34"/>
  <c r="E152" i="34"/>
  <c r="D152" i="34"/>
  <c r="C152" i="34"/>
  <c r="Q151" i="34"/>
  <c r="P151" i="34"/>
  <c r="N151" i="34"/>
  <c r="M151" i="34"/>
  <c r="L151" i="34"/>
  <c r="K151" i="34"/>
  <c r="I151" i="34"/>
  <c r="H151" i="34"/>
  <c r="G151" i="34"/>
  <c r="E151" i="34"/>
  <c r="D151" i="34"/>
  <c r="C151" i="34"/>
  <c r="X150" i="34"/>
  <c r="Q150" i="34"/>
  <c r="P150" i="34"/>
  <c r="N150" i="34"/>
  <c r="M150" i="34"/>
  <c r="L150" i="34"/>
  <c r="K150" i="34"/>
  <c r="I150" i="34"/>
  <c r="H150" i="34"/>
  <c r="G150" i="34"/>
  <c r="E150" i="34"/>
  <c r="D150" i="34"/>
  <c r="C150" i="34"/>
  <c r="Q149" i="34"/>
  <c r="P149" i="34"/>
  <c r="N149" i="34"/>
  <c r="M149" i="34"/>
  <c r="L149" i="34"/>
  <c r="K149" i="34"/>
  <c r="I149" i="34"/>
  <c r="H149" i="34"/>
  <c r="G149" i="34"/>
  <c r="E149" i="34"/>
  <c r="D149" i="34"/>
  <c r="C149" i="34"/>
  <c r="Q148" i="34"/>
  <c r="P148" i="34"/>
  <c r="N148" i="34"/>
  <c r="M148" i="34"/>
  <c r="L148" i="34"/>
  <c r="K148" i="34"/>
  <c r="I148" i="34"/>
  <c r="H148" i="34"/>
  <c r="G148" i="34"/>
  <c r="E148" i="34"/>
  <c r="D148" i="34"/>
  <c r="C148" i="34"/>
  <c r="Q147" i="34"/>
  <c r="P147" i="34"/>
  <c r="N147" i="34"/>
  <c r="M147" i="34"/>
  <c r="L147" i="34"/>
  <c r="K147" i="34"/>
  <c r="I147" i="34"/>
  <c r="H147" i="34"/>
  <c r="G147" i="34"/>
  <c r="E147" i="34"/>
  <c r="D147" i="34"/>
  <c r="C147" i="34"/>
  <c r="Q146" i="34"/>
  <c r="P146" i="34"/>
  <c r="N146" i="34"/>
  <c r="M146" i="34"/>
  <c r="L146" i="34"/>
  <c r="K146" i="34"/>
  <c r="I146" i="34"/>
  <c r="H146" i="34"/>
  <c r="G146" i="34"/>
  <c r="E146" i="34"/>
  <c r="D146" i="34"/>
  <c r="C146" i="34"/>
  <c r="V143" i="34"/>
  <c r="V142" i="34"/>
  <c r="S129" i="34"/>
  <c r="S128" i="34"/>
  <c r="S127" i="34"/>
  <c r="S126" i="34"/>
  <c r="R121" i="34"/>
  <c r="AD144" i="34" s="1"/>
  <c r="Q121" i="34"/>
  <c r="P121" i="34"/>
  <c r="O121" i="34"/>
  <c r="N121" i="34"/>
  <c r="M121" i="34"/>
  <c r="L121" i="34"/>
  <c r="K121" i="34"/>
  <c r="J121" i="34"/>
  <c r="Y147" i="34" s="1"/>
  <c r="I121" i="34"/>
  <c r="H121" i="34"/>
  <c r="G121" i="34"/>
  <c r="F121" i="34"/>
  <c r="E121" i="34"/>
  <c r="D121" i="34"/>
  <c r="C121" i="34"/>
  <c r="A118" i="34"/>
  <c r="A117" i="34"/>
  <c r="A116" i="34"/>
  <c r="A115" i="34"/>
  <c r="A114" i="34"/>
  <c r="A113" i="34"/>
  <c r="A112" i="34"/>
  <c r="A111" i="34"/>
  <c r="A110" i="34"/>
  <c r="A109" i="34"/>
  <c r="Q108" i="34"/>
  <c r="P108" i="34"/>
  <c r="O108" i="34"/>
  <c r="N108" i="34"/>
  <c r="M108" i="34"/>
  <c r="L108" i="34"/>
  <c r="K108" i="34"/>
  <c r="J108" i="34"/>
  <c r="I108" i="34"/>
  <c r="H108" i="34"/>
  <c r="G108" i="34"/>
  <c r="F108" i="34"/>
  <c r="E108" i="34"/>
  <c r="D108" i="34"/>
  <c r="C108" i="34"/>
  <c r="A108" i="34" s="1"/>
  <c r="Q107" i="34"/>
  <c r="P107" i="34"/>
  <c r="O107" i="34"/>
  <c r="N107" i="34"/>
  <c r="M107" i="34"/>
  <c r="L107" i="34"/>
  <c r="K107" i="34"/>
  <c r="J107" i="34"/>
  <c r="I107" i="34"/>
  <c r="H107" i="34"/>
  <c r="G107" i="34"/>
  <c r="F107" i="34"/>
  <c r="E107" i="34"/>
  <c r="D107" i="34"/>
  <c r="C107" i="34"/>
  <c r="A107" i="34" s="1"/>
  <c r="I106" i="34"/>
  <c r="Q105" i="34"/>
  <c r="P105" i="34"/>
  <c r="O105" i="34"/>
  <c r="N105" i="34"/>
  <c r="M105" i="34"/>
  <c r="L105" i="34"/>
  <c r="K105" i="34"/>
  <c r="J105" i="34"/>
  <c r="I105" i="34"/>
  <c r="H105" i="34"/>
  <c r="G105" i="34"/>
  <c r="F105" i="34"/>
  <c r="E105" i="34"/>
  <c r="D105" i="34"/>
  <c r="C105" i="34"/>
  <c r="A105" i="34" s="1"/>
  <c r="Q104" i="34"/>
  <c r="P104" i="34"/>
  <c r="O104" i="34"/>
  <c r="N104" i="34"/>
  <c r="M104" i="34"/>
  <c r="L104" i="34"/>
  <c r="K104" i="34"/>
  <c r="J104" i="34"/>
  <c r="I104" i="34"/>
  <c r="H104" i="34"/>
  <c r="G104" i="34"/>
  <c r="F104" i="34"/>
  <c r="E104" i="34"/>
  <c r="D104" i="34"/>
  <c r="C104" i="34"/>
  <c r="A104" i="34" s="1"/>
  <c r="Q103" i="34"/>
  <c r="P103" i="34"/>
  <c r="O103" i="34"/>
  <c r="N103" i="34"/>
  <c r="M103" i="34"/>
  <c r="L103" i="34"/>
  <c r="K103" i="34"/>
  <c r="J103" i="34"/>
  <c r="I103" i="34"/>
  <c r="H103" i="34"/>
  <c r="G103" i="34"/>
  <c r="F103" i="34"/>
  <c r="E103" i="34"/>
  <c r="D103" i="34"/>
  <c r="C103" i="34"/>
  <c r="A103" i="34" s="1"/>
  <c r="Q102" i="34"/>
  <c r="P102" i="34"/>
  <c r="O102" i="34"/>
  <c r="N102" i="34"/>
  <c r="M102" i="34"/>
  <c r="L102" i="34"/>
  <c r="K102" i="34"/>
  <c r="J102" i="34"/>
  <c r="I102" i="34"/>
  <c r="H102" i="34"/>
  <c r="G102" i="34"/>
  <c r="F102" i="34"/>
  <c r="E102" i="34"/>
  <c r="D102" i="34"/>
  <c r="C102" i="34"/>
  <c r="Q101" i="34"/>
  <c r="P101" i="34"/>
  <c r="O101" i="34"/>
  <c r="N101" i="34"/>
  <c r="M101" i="34"/>
  <c r="L101" i="34"/>
  <c r="K101" i="34"/>
  <c r="J101" i="34"/>
  <c r="I101" i="34"/>
  <c r="H101" i="34"/>
  <c r="G101" i="34"/>
  <c r="F101" i="34"/>
  <c r="E101" i="34"/>
  <c r="D101" i="34"/>
  <c r="C101" i="34"/>
  <c r="A101" i="34" s="1"/>
  <c r="Q100" i="34"/>
  <c r="P100" i="34"/>
  <c r="O100" i="34"/>
  <c r="N100" i="34"/>
  <c r="M100" i="34"/>
  <c r="L100" i="34"/>
  <c r="K100" i="34"/>
  <c r="J100" i="34"/>
  <c r="I100" i="34"/>
  <c r="H100" i="34"/>
  <c r="G100" i="34"/>
  <c r="F100" i="34"/>
  <c r="E100" i="34"/>
  <c r="D100" i="34"/>
  <c r="C100" i="34"/>
  <c r="A100" i="34" s="1"/>
  <c r="Q99" i="34"/>
  <c r="P99" i="34"/>
  <c r="O99" i="34"/>
  <c r="N99" i="34"/>
  <c r="M99" i="34"/>
  <c r="L99" i="34"/>
  <c r="K99" i="34"/>
  <c r="J99" i="34"/>
  <c r="I99" i="34"/>
  <c r="H99" i="34"/>
  <c r="V99" i="34" s="1"/>
  <c r="G99" i="34"/>
  <c r="F99" i="34"/>
  <c r="E99" i="34"/>
  <c r="D99" i="34"/>
  <c r="C99" i="34"/>
  <c r="A99" i="34" s="1"/>
  <c r="Q98" i="34"/>
  <c r="P98" i="34"/>
  <c r="O98" i="34"/>
  <c r="N98" i="34"/>
  <c r="M98" i="34"/>
  <c r="L98" i="34"/>
  <c r="K98" i="34"/>
  <c r="J98" i="34"/>
  <c r="I98" i="34"/>
  <c r="H98" i="34"/>
  <c r="G98" i="34"/>
  <c r="F98" i="34"/>
  <c r="E98" i="34"/>
  <c r="D98" i="34"/>
  <c r="C98" i="34"/>
  <c r="A98" i="34" s="1"/>
  <c r="Q97" i="34"/>
  <c r="P97" i="34"/>
  <c r="O97" i="34"/>
  <c r="N97" i="34"/>
  <c r="M97" i="34"/>
  <c r="L97" i="34"/>
  <c r="K97" i="34"/>
  <c r="J97" i="34"/>
  <c r="I97" i="34"/>
  <c r="H97" i="34"/>
  <c r="V97" i="34" s="1"/>
  <c r="G97" i="34"/>
  <c r="F97" i="34"/>
  <c r="E97" i="34"/>
  <c r="D97" i="34"/>
  <c r="C97" i="34"/>
  <c r="A97" i="34" s="1"/>
  <c r="Q96" i="34"/>
  <c r="P96" i="34"/>
  <c r="O96" i="34"/>
  <c r="N96" i="34"/>
  <c r="M96" i="34"/>
  <c r="L96" i="34"/>
  <c r="K96" i="34"/>
  <c r="J96" i="34"/>
  <c r="I96" i="34"/>
  <c r="H96" i="34"/>
  <c r="G96" i="34"/>
  <c r="F96" i="34"/>
  <c r="E96" i="34"/>
  <c r="D96" i="34"/>
  <c r="C96" i="34"/>
  <c r="A96" i="34" s="1"/>
  <c r="Q95" i="34"/>
  <c r="P95" i="34"/>
  <c r="O95" i="34"/>
  <c r="N95" i="34"/>
  <c r="M95" i="34"/>
  <c r="L95" i="34"/>
  <c r="K95" i="34"/>
  <c r="J95" i="34"/>
  <c r="I95" i="34"/>
  <c r="H95" i="34"/>
  <c r="G95" i="34"/>
  <c r="F95" i="34"/>
  <c r="E95" i="34"/>
  <c r="D95" i="34"/>
  <c r="C95" i="34"/>
  <c r="A95" i="34" s="1"/>
  <c r="Q94" i="34"/>
  <c r="P94" i="34"/>
  <c r="O94" i="34"/>
  <c r="N94" i="34"/>
  <c r="M94" i="34"/>
  <c r="L94" i="34"/>
  <c r="K94" i="34"/>
  <c r="J94" i="34"/>
  <c r="I94" i="34"/>
  <c r="H94" i="34"/>
  <c r="G94" i="34"/>
  <c r="F94" i="34"/>
  <c r="E94" i="34"/>
  <c r="D94" i="34"/>
  <c r="C94" i="34"/>
  <c r="A94" i="34" s="1"/>
  <c r="Q92" i="34"/>
  <c r="P92" i="34"/>
  <c r="O92" i="34"/>
  <c r="N92" i="34"/>
  <c r="M92" i="34"/>
  <c r="L92" i="34"/>
  <c r="K92" i="34"/>
  <c r="J92" i="34"/>
  <c r="I92" i="34"/>
  <c r="H92" i="34"/>
  <c r="G92" i="34"/>
  <c r="F92" i="34"/>
  <c r="E92" i="34"/>
  <c r="D92" i="34"/>
  <c r="C92" i="34"/>
  <c r="A92" i="34" s="1"/>
  <c r="Q91" i="34"/>
  <c r="P91" i="34"/>
  <c r="O91" i="34"/>
  <c r="N91" i="34"/>
  <c r="M91" i="34"/>
  <c r="L91" i="34"/>
  <c r="K91" i="34"/>
  <c r="J91" i="34"/>
  <c r="I91" i="34"/>
  <c r="H91" i="34"/>
  <c r="G91" i="34"/>
  <c r="F91" i="34"/>
  <c r="E91" i="34"/>
  <c r="D91" i="34"/>
  <c r="C91" i="34"/>
  <c r="A91" i="34" s="1"/>
  <c r="Q90" i="34"/>
  <c r="P90" i="34"/>
  <c r="O90" i="34"/>
  <c r="N90" i="34"/>
  <c r="M90" i="34"/>
  <c r="L90" i="34"/>
  <c r="K90" i="34"/>
  <c r="J90" i="34"/>
  <c r="I90" i="34"/>
  <c r="H90" i="34"/>
  <c r="G90" i="34"/>
  <c r="F90" i="34"/>
  <c r="E90" i="34"/>
  <c r="D90" i="34"/>
  <c r="C90" i="34"/>
  <c r="A90" i="34" s="1"/>
  <c r="Q89" i="34"/>
  <c r="P89" i="34"/>
  <c r="O89" i="34"/>
  <c r="N89" i="34"/>
  <c r="M89" i="34"/>
  <c r="L89" i="34"/>
  <c r="K89" i="34"/>
  <c r="J89" i="34"/>
  <c r="I89" i="34"/>
  <c r="H89" i="34"/>
  <c r="G89" i="34"/>
  <c r="F89" i="34"/>
  <c r="E89" i="34"/>
  <c r="D89" i="34"/>
  <c r="C89" i="34"/>
  <c r="A89" i="34" s="1"/>
  <c r="Q88" i="34"/>
  <c r="P88" i="34"/>
  <c r="O88" i="34"/>
  <c r="N88" i="34"/>
  <c r="M88" i="34"/>
  <c r="L88" i="34"/>
  <c r="K88" i="34"/>
  <c r="J88" i="34"/>
  <c r="I88" i="34"/>
  <c r="H88" i="34"/>
  <c r="G88" i="34"/>
  <c r="F88" i="34"/>
  <c r="E88" i="34"/>
  <c r="D88" i="34"/>
  <c r="C88" i="34"/>
  <c r="A88" i="34" s="1"/>
  <c r="Q87" i="34"/>
  <c r="P87" i="34"/>
  <c r="O87" i="34"/>
  <c r="N87" i="34"/>
  <c r="M87" i="34"/>
  <c r="L87" i="34"/>
  <c r="K87" i="34"/>
  <c r="J87" i="34"/>
  <c r="I87" i="34"/>
  <c r="H87" i="34"/>
  <c r="G87" i="34"/>
  <c r="F87" i="34"/>
  <c r="E87" i="34"/>
  <c r="D87" i="34"/>
  <c r="C87" i="34"/>
  <c r="A87" i="34" s="1"/>
  <c r="Q86" i="34"/>
  <c r="P86" i="34"/>
  <c r="O86" i="34"/>
  <c r="N86" i="34"/>
  <c r="M86" i="34"/>
  <c r="L86" i="34"/>
  <c r="K86" i="34"/>
  <c r="H86" i="34"/>
  <c r="G86" i="34"/>
  <c r="F86" i="34"/>
  <c r="E86" i="34"/>
  <c r="D86" i="34"/>
  <c r="C86" i="34"/>
  <c r="A86" i="34" s="1"/>
  <c r="R85" i="34"/>
  <c r="Q85" i="34"/>
  <c r="P85" i="34"/>
  <c r="O85" i="34"/>
  <c r="N85" i="34"/>
  <c r="M85" i="34"/>
  <c r="L85" i="34"/>
  <c r="K85" i="34"/>
  <c r="J85" i="34"/>
  <c r="I85" i="34"/>
  <c r="H85" i="34"/>
  <c r="G85" i="34"/>
  <c r="F85" i="34"/>
  <c r="E85" i="34"/>
  <c r="D85" i="34"/>
  <c r="C85" i="34"/>
  <c r="A85" i="34" s="1"/>
  <c r="R84" i="34"/>
  <c r="Q84" i="34"/>
  <c r="P84" i="34"/>
  <c r="O84" i="34"/>
  <c r="N84" i="34"/>
  <c r="M84" i="34"/>
  <c r="L84" i="34"/>
  <c r="K84" i="34"/>
  <c r="J84" i="34"/>
  <c r="I84" i="34"/>
  <c r="H84" i="34"/>
  <c r="G84" i="34"/>
  <c r="F84" i="34"/>
  <c r="E84" i="34"/>
  <c r="D84" i="34"/>
  <c r="C84" i="34"/>
  <c r="A84" i="34" s="1"/>
  <c r="Q83" i="34"/>
  <c r="P83" i="34"/>
  <c r="O83" i="34"/>
  <c r="N83" i="34"/>
  <c r="M83" i="34"/>
  <c r="L83" i="34"/>
  <c r="K83" i="34"/>
  <c r="J83" i="34"/>
  <c r="I83" i="34"/>
  <c r="H83" i="34"/>
  <c r="G83" i="34"/>
  <c r="F83" i="34"/>
  <c r="E83" i="34"/>
  <c r="D83" i="34"/>
  <c r="C83" i="34"/>
  <c r="A83" i="34" s="1"/>
  <c r="Q82" i="34"/>
  <c r="P82" i="34"/>
  <c r="O82" i="34"/>
  <c r="N82" i="34"/>
  <c r="M82" i="34"/>
  <c r="L82" i="34"/>
  <c r="K82" i="34"/>
  <c r="J82" i="34"/>
  <c r="I82" i="34"/>
  <c r="H82" i="34"/>
  <c r="G82" i="34"/>
  <c r="F82" i="34"/>
  <c r="E82" i="34"/>
  <c r="D82" i="34"/>
  <c r="C82" i="34"/>
  <c r="A82" i="34" s="1"/>
  <c r="Q81" i="34"/>
  <c r="AJ81" i="34" s="1"/>
  <c r="P81" i="34"/>
  <c r="O81" i="34"/>
  <c r="N81" i="34"/>
  <c r="M81" i="34"/>
  <c r="L81" i="34"/>
  <c r="AE82" i="34" s="1"/>
  <c r="K81" i="34"/>
  <c r="J81" i="34"/>
  <c r="I81" i="34"/>
  <c r="H81" i="34"/>
  <c r="G81" i="34"/>
  <c r="F81" i="34"/>
  <c r="E81" i="34"/>
  <c r="D81" i="34"/>
  <c r="W82" i="34" s="1"/>
  <c r="C81" i="34"/>
  <c r="A81" i="34" s="1"/>
  <c r="Q79" i="34"/>
  <c r="P79" i="34"/>
  <c r="O79" i="34"/>
  <c r="N79" i="34"/>
  <c r="M79" i="34"/>
  <c r="L79" i="34"/>
  <c r="K79" i="34"/>
  <c r="J79" i="34"/>
  <c r="I79" i="34"/>
  <c r="H79" i="34"/>
  <c r="G79" i="34"/>
  <c r="F79" i="34"/>
  <c r="E79" i="34"/>
  <c r="D79" i="34"/>
  <c r="C79" i="34"/>
  <c r="A79" i="34"/>
  <c r="Q78" i="34"/>
  <c r="AJ79" i="34" s="1"/>
  <c r="P78" i="34"/>
  <c r="O78" i="34"/>
  <c r="N78" i="34"/>
  <c r="AG78" i="34" s="1"/>
  <c r="M78" i="34"/>
  <c r="L78" i="34"/>
  <c r="K78" i="34"/>
  <c r="J78" i="34"/>
  <c r="I78" i="34"/>
  <c r="H78" i="34"/>
  <c r="G78" i="34"/>
  <c r="F78" i="34"/>
  <c r="E78" i="34"/>
  <c r="D78" i="34"/>
  <c r="W78" i="34" s="1"/>
  <c r="C78" i="34"/>
  <c r="Q77" i="34"/>
  <c r="AJ77" i="34" s="1"/>
  <c r="P77" i="34"/>
  <c r="O77" i="34"/>
  <c r="N77" i="34"/>
  <c r="M77" i="34"/>
  <c r="L77" i="34"/>
  <c r="K77" i="34"/>
  <c r="J77" i="34"/>
  <c r="I77" i="34"/>
  <c r="H77" i="34"/>
  <c r="G77" i="34"/>
  <c r="Z77" i="34" s="1"/>
  <c r="F77" i="34"/>
  <c r="E77" i="34"/>
  <c r="D77" i="34"/>
  <c r="C77" i="34"/>
  <c r="A77" i="34" s="1"/>
  <c r="AG76" i="34"/>
  <c r="Q76" i="34"/>
  <c r="P76" i="34"/>
  <c r="O76" i="34"/>
  <c r="N76" i="34"/>
  <c r="M76" i="34"/>
  <c r="L76" i="34"/>
  <c r="K76" i="34"/>
  <c r="J76" i="34"/>
  <c r="AC76" i="34" s="1"/>
  <c r="I76" i="34"/>
  <c r="H76" i="34"/>
  <c r="G76" i="34"/>
  <c r="F76" i="34"/>
  <c r="E76" i="34"/>
  <c r="D76" i="34"/>
  <c r="W76" i="34" s="1"/>
  <c r="C76" i="34"/>
  <c r="Q75" i="34"/>
  <c r="P75" i="34"/>
  <c r="O75" i="34"/>
  <c r="N75" i="34"/>
  <c r="M75" i="34"/>
  <c r="L75" i="34"/>
  <c r="K75" i="34"/>
  <c r="J75" i="34"/>
  <c r="AC75" i="34" s="1"/>
  <c r="I75" i="34"/>
  <c r="H75" i="34"/>
  <c r="G75" i="34"/>
  <c r="F75" i="34"/>
  <c r="E75" i="34"/>
  <c r="D75" i="34"/>
  <c r="C75" i="34"/>
  <c r="A75" i="34" s="1"/>
  <c r="Q74" i="34"/>
  <c r="P74" i="34"/>
  <c r="O74" i="34"/>
  <c r="N74" i="34"/>
  <c r="AG75" i="34" s="1"/>
  <c r="M74" i="34"/>
  <c r="L74" i="34"/>
  <c r="K74" i="34"/>
  <c r="J74" i="34"/>
  <c r="I74" i="34"/>
  <c r="H74" i="34"/>
  <c r="AA75" i="34" s="1"/>
  <c r="G74" i="34"/>
  <c r="F74" i="34"/>
  <c r="E74" i="34"/>
  <c r="D74" i="34"/>
  <c r="C74" i="34"/>
  <c r="A74" i="34" s="1"/>
  <c r="Q73" i="34"/>
  <c r="P73" i="34"/>
  <c r="AI74" i="34" s="1"/>
  <c r="O73" i="34"/>
  <c r="N73" i="34"/>
  <c r="M73" i="34"/>
  <c r="L73" i="34"/>
  <c r="K73" i="34"/>
  <c r="J73" i="34"/>
  <c r="I73" i="34"/>
  <c r="H73" i="34"/>
  <c r="AA73" i="34" s="1"/>
  <c r="G73" i="34"/>
  <c r="F73" i="34"/>
  <c r="Y74" i="34" s="1"/>
  <c r="E73" i="34"/>
  <c r="D73" i="34"/>
  <c r="C73" i="34"/>
  <c r="Q72" i="34"/>
  <c r="P72" i="34"/>
  <c r="O72" i="34"/>
  <c r="AH72" i="34" s="1"/>
  <c r="N72" i="34"/>
  <c r="M72" i="34"/>
  <c r="AF73" i="34" s="1"/>
  <c r="L72" i="34"/>
  <c r="K72" i="34"/>
  <c r="AD72" i="34" s="1"/>
  <c r="J72" i="34"/>
  <c r="I72" i="34"/>
  <c r="H72" i="34"/>
  <c r="G72" i="34"/>
  <c r="Z72" i="34" s="1"/>
  <c r="F72" i="34"/>
  <c r="E72" i="34"/>
  <c r="D72" i="34"/>
  <c r="C72" i="34"/>
  <c r="A72" i="34" s="1"/>
  <c r="Q71" i="34"/>
  <c r="P71" i="34"/>
  <c r="O71" i="34"/>
  <c r="N71" i="34"/>
  <c r="M71" i="34"/>
  <c r="L71" i="34"/>
  <c r="K71" i="34"/>
  <c r="J71" i="34"/>
  <c r="I71" i="34"/>
  <c r="H71" i="34"/>
  <c r="G71" i="34"/>
  <c r="F71" i="34"/>
  <c r="E71" i="34"/>
  <c r="D71" i="34"/>
  <c r="W72" i="34" s="1"/>
  <c r="C71" i="34"/>
  <c r="A71" i="34"/>
  <c r="Q70" i="34"/>
  <c r="P70" i="34"/>
  <c r="O70" i="34"/>
  <c r="N70" i="34"/>
  <c r="M70" i="34"/>
  <c r="L70" i="34"/>
  <c r="K70" i="34"/>
  <c r="J70" i="34"/>
  <c r="I70" i="34"/>
  <c r="H70" i="34"/>
  <c r="G70" i="34"/>
  <c r="F70" i="34"/>
  <c r="E70" i="34"/>
  <c r="D70" i="34"/>
  <c r="C70" i="34"/>
  <c r="A70" i="34" s="1"/>
  <c r="Q69" i="34"/>
  <c r="P69" i="34"/>
  <c r="O69" i="34"/>
  <c r="N69" i="34"/>
  <c r="M69" i="34"/>
  <c r="L69" i="34"/>
  <c r="K69" i="34"/>
  <c r="J69" i="34"/>
  <c r="I69" i="34"/>
  <c r="H69" i="34"/>
  <c r="G69" i="34"/>
  <c r="F69" i="34"/>
  <c r="E69" i="34"/>
  <c r="D69" i="34"/>
  <c r="C69" i="34"/>
  <c r="A69" i="34" s="1"/>
  <c r="AM68" i="34"/>
  <c r="Q68" i="34"/>
  <c r="AJ120" i="34" s="1"/>
  <c r="P68" i="34"/>
  <c r="AI120" i="34" s="1"/>
  <c r="O68" i="34"/>
  <c r="AH120" i="34" s="1"/>
  <c r="N68" i="34"/>
  <c r="AG120" i="34" s="1"/>
  <c r="M68" i="34"/>
  <c r="AF120" i="34" s="1"/>
  <c r="L68" i="34"/>
  <c r="AE120" i="34" s="1"/>
  <c r="K68" i="34"/>
  <c r="AD120" i="34" s="1"/>
  <c r="J68" i="34"/>
  <c r="AC120" i="34" s="1"/>
  <c r="I68" i="34"/>
  <c r="AB120" i="34" s="1"/>
  <c r="H68" i="34"/>
  <c r="G68" i="34"/>
  <c r="F68" i="34"/>
  <c r="E68" i="34"/>
  <c r="D68" i="34"/>
  <c r="C68" i="34"/>
  <c r="A68" i="34" s="1"/>
  <c r="Q67" i="34"/>
  <c r="P67" i="34"/>
  <c r="O67" i="34"/>
  <c r="N67" i="34"/>
  <c r="M67" i="34"/>
  <c r="L67" i="34"/>
  <c r="K67" i="34"/>
  <c r="J67" i="34"/>
  <c r="I67" i="34"/>
  <c r="H67" i="34"/>
  <c r="G67" i="34"/>
  <c r="F67" i="34"/>
  <c r="E67" i="34"/>
  <c r="D67" i="34"/>
  <c r="C67" i="34"/>
  <c r="AN66" i="34"/>
  <c r="AJ66" i="34"/>
  <c r="S66" i="34"/>
  <c r="R66" i="34"/>
  <c r="A66" i="34"/>
  <c r="AN65" i="34"/>
  <c r="AC65" i="34"/>
  <c r="R65" i="34"/>
  <c r="A65" i="34"/>
  <c r="AC64" i="34"/>
  <c r="S64" i="34"/>
  <c r="R64" i="34"/>
  <c r="AN64" i="34" s="1"/>
  <c r="A64" i="34"/>
  <c r="AC63" i="34"/>
  <c r="R63" i="34"/>
  <c r="A63" i="34"/>
  <c r="AI62" i="34"/>
  <c r="AH62" i="34"/>
  <c r="AG62" i="34"/>
  <c r="AF62" i="34"/>
  <c r="AE62" i="34"/>
  <c r="AD62" i="34"/>
  <c r="AC62" i="34"/>
  <c r="AB62" i="34"/>
  <c r="AA62" i="34"/>
  <c r="Z62" i="34"/>
  <c r="Y62" i="34"/>
  <c r="X62" i="34"/>
  <c r="W62" i="34"/>
  <c r="V62" i="34"/>
  <c r="R62" i="34"/>
  <c r="A62" i="34"/>
  <c r="AI61" i="34"/>
  <c r="AH61" i="34"/>
  <c r="AG61" i="34"/>
  <c r="AF61" i="34"/>
  <c r="AE61" i="34"/>
  <c r="AD61" i="34"/>
  <c r="AC61" i="34"/>
  <c r="AB61" i="34"/>
  <c r="AA61" i="34"/>
  <c r="Z61" i="34"/>
  <c r="Y61" i="34"/>
  <c r="X61" i="34"/>
  <c r="W61" i="34"/>
  <c r="V61" i="34"/>
  <c r="R61" i="34"/>
  <c r="A61" i="34"/>
  <c r="AJ60" i="34"/>
  <c r="AI60" i="34"/>
  <c r="AH60" i="34"/>
  <c r="AG60" i="34"/>
  <c r="AF60" i="34"/>
  <c r="AE60" i="34"/>
  <c r="AD60" i="34"/>
  <c r="AC60" i="34"/>
  <c r="AB60" i="34"/>
  <c r="AA60" i="34"/>
  <c r="Z60" i="34"/>
  <c r="Y60" i="34"/>
  <c r="X60" i="34"/>
  <c r="W60" i="34"/>
  <c r="V60" i="34"/>
  <c r="R60" i="34"/>
  <c r="A60" i="34"/>
  <c r="AI59" i="34"/>
  <c r="AH59" i="34"/>
  <c r="AG59" i="34"/>
  <c r="AF59" i="34"/>
  <c r="AE59" i="34"/>
  <c r="AD59" i="34"/>
  <c r="AC59" i="34"/>
  <c r="AB59" i="34"/>
  <c r="AA59" i="34"/>
  <c r="Z59" i="34"/>
  <c r="Y59" i="34"/>
  <c r="X59" i="34"/>
  <c r="W59" i="34"/>
  <c r="V59" i="34"/>
  <c r="S59" i="34"/>
  <c r="R59" i="34"/>
  <c r="A59" i="34"/>
  <c r="AI58" i="34"/>
  <c r="AH58" i="34"/>
  <c r="AG58" i="34"/>
  <c r="AF58" i="34"/>
  <c r="AE58" i="34"/>
  <c r="AD58" i="34"/>
  <c r="AC58" i="34"/>
  <c r="AB58" i="34"/>
  <c r="AA58" i="34"/>
  <c r="Z58" i="34"/>
  <c r="Y58" i="34"/>
  <c r="X58" i="34"/>
  <c r="W58" i="34"/>
  <c r="V58" i="34"/>
  <c r="R58" i="34"/>
  <c r="A58" i="34"/>
  <c r="AI57" i="34"/>
  <c r="AH57" i="34"/>
  <c r="AG57" i="34"/>
  <c r="AF57" i="34"/>
  <c r="AE57" i="34"/>
  <c r="AD57" i="34"/>
  <c r="AC57" i="34"/>
  <c r="AB57" i="34"/>
  <c r="AA57" i="34"/>
  <c r="Z57" i="34"/>
  <c r="Y57" i="34"/>
  <c r="X57" i="34"/>
  <c r="W57" i="34"/>
  <c r="V57" i="34"/>
  <c r="R57" i="34"/>
  <c r="A57" i="34"/>
  <c r="AI56" i="34"/>
  <c r="AH56" i="34"/>
  <c r="AG56" i="34"/>
  <c r="AF56" i="34"/>
  <c r="AE56" i="34"/>
  <c r="AD56" i="34"/>
  <c r="AC56" i="34"/>
  <c r="AB56" i="34"/>
  <c r="AA56" i="34"/>
  <c r="Z56" i="34"/>
  <c r="Y56" i="34"/>
  <c r="X56" i="34"/>
  <c r="W56" i="34"/>
  <c r="V56" i="34"/>
  <c r="R56" i="34"/>
  <c r="AN56" i="34" s="1"/>
  <c r="A56" i="34"/>
  <c r="AK55" i="34"/>
  <c r="AL55" i="34" s="1"/>
  <c r="AI55" i="34"/>
  <c r="AH55" i="34"/>
  <c r="AG55" i="34"/>
  <c r="AF55" i="34"/>
  <c r="AE55" i="34"/>
  <c r="AD55" i="34"/>
  <c r="AC55" i="34"/>
  <c r="AB55" i="34"/>
  <c r="AA55" i="34"/>
  <c r="Z55" i="34"/>
  <c r="Y55" i="34"/>
  <c r="X55" i="34"/>
  <c r="W55" i="34"/>
  <c r="V55" i="34"/>
  <c r="S55" i="34"/>
  <c r="R55" i="34"/>
  <c r="AN55" i="34" s="1"/>
  <c r="A55" i="34"/>
  <c r="Q54" i="34"/>
  <c r="P54" i="34"/>
  <c r="O54" i="34"/>
  <c r="N54" i="34"/>
  <c r="M54" i="34"/>
  <c r="L54" i="34"/>
  <c r="K54" i="34"/>
  <c r="J54" i="34"/>
  <c r="I54" i="34"/>
  <c r="H54" i="34"/>
  <c r="G54" i="34"/>
  <c r="F54" i="34"/>
  <c r="E54" i="34"/>
  <c r="D54" i="34"/>
  <c r="C54" i="34"/>
  <c r="AI53" i="34"/>
  <c r="AH53" i="34"/>
  <c r="AG53" i="34"/>
  <c r="AF53" i="34"/>
  <c r="AE53" i="34"/>
  <c r="AD53" i="34"/>
  <c r="AC53" i="34"/>
  <c r="AB53" i="34"/>
  <c r="AA53" i="34"/>
  <c r="Z53" i="34"/>
  <c r="Y53" i="34"/>
  <c r="X53" i="34"/>
  <c r="W53" i="34"/>
  <c r="V53" i="34"/>
  <c r="R53" i="34"/>
  <c r="A53" i="34"/>
  <c r="AI52" i="34"/>
  <c r="AH52" i="34"/>
  <c r="AG52" i="34"/>
  <c r="AF52" i="34"/>
  <c r="AE52" i="34"/>
  <c r="AD52" i="34"/>
  <c r="AC52" i="34"/>
  <c r="AB52" i="34"/>
  <c r="AA52" i="34"/>
  <c r="Z52" i="34"/>
  <c r="Y52" i="34"/>
  <c r="X52" i="34"/>
  <c r="W52" i="34"/>
  <c r="V52" i="34"/>
  <c r="R52" i="34"/>
  <c r="AN52" i="34" s="1"/>
  <c r="A52" i="34"/>
  <c r="AK51" i="34"/>
  <c r="AL51" i="34" s="1"/>
  <c r="AI51" i="34"/>
  <c r="AH51" i="34"/>
  <c r="AG51" i="34"/>
  <c r="AF51" i="34"/>
  <c r="AE51" i="34"/>
  <c r="AD51" i="34"/>
  <c r="AC51" i="34"/>
  <c r="AB51" i="34"/>
  <c r="AA51" i="34"/>
  <c r="Z51" i="34"/>
  <c r="Y51" i="34"/>
  <c r="X51" i="34"/>
  <c r="W51" i="34"/>
  <c r="V51" i="34"/>
  <c r="S51" i="34"/>
  <c r="R51" i="34"/>
  <c r="AN51" i="34" s="1"/>
  <c r="A51" i="34"/>
  <c r="AK50" i="34"/>
  <c r="AL50" i="34" s="1"/>
  <c r="AI50" i="34"/>
  <c r="AH50" i="34"/>
  <c r="AG50" i="34"/>
  <c r="AF50" i="34"/>
  <c r="AE50" i="34"/>
  <c r="AD50" i="34"/>
  <c r="AC50" i="34"/>
  <c r="AB50" i="34"/>
  <c r="AA50" i="34"/>
  <c r="Z50" i="34"/>
  <c r="Y50" i="34"/>
  <c r="X50" i="34"/>
  <c r="W50" i="34"/>
  <c r="V50" i="34"/>
  <c r="S50" i="34"/>
  <c r="R50" i="34"/>
  <c r="AN50" i="34" s="1"/>
  <c r="A50" i="34"/>
  <c r="AJ49" i="34"/>
  <c r="AI49" i="34"/>
  <c r="AH49" i="34"/>
  <c r="AG49" i="34"/>
  <c r="AF49" i="34"/>
  <c r="AE49" i="34"/>
  <c r="AD49" i="34"/>
  <c r="AC49" i="34"/>
  <c r="AB49" i="34"/>
  <c r="AA49" i="34"/>
  <c r="Z49" i="34"/>
  <c r="Y49" i="34"/>
  <c r="X49" i="34"/>
  <c r="W49" i="34"/>
  <c r="V49" i="34"/>
  <c r="R49" i="34"/>
  <c r="A49" i="34"/>
  <c r="AI48" i="34"/>
  <c r="AH48" i="34"/>
  <c r="AG48" i="34"/>
  <c r="AF48" i="34"/>
  <c r="AE48" i="34"/>
  <c r="AD48" i="34"/>
  <c r="AC48" i="34"/>
  <c r="AB48" i="34"/>
  <c r="AA48" i="34"/>
  <c r="Z48" i="34"/>
  <c r="Y48" i="34"/>
  <c r="X48" i="34"/>
  <c r="W48" i="34"/>
  <c r="V48" i="34"/>
  <c r="R48" i="34"/>
  <c r="AN48" i="34" s="1"/>
  <c r="A48" i="34"/>
  <c r="AK47" i="34"/>
  <c r="AL47" i="34" s="1"/>
  <c r="AI47" i="34"/>
  <c r="AH47" i="34"/>
  <c r="AG47" i="34"/>
  <c r="AF47" i="34"/>
  <c r="AE47" i="34"/>
  <c r="AD47" i="34"/>
  <c r="AC47" i="34"/>
  <c r="AB47" i="34"/>
  <c r="AA47" i="34"/>
  <c r="Z47" i="34"/>
  <c r="Y47" i="34"/>
  <c r="X47" i="34"/>
  <c r="W47" i="34"/>
  <c r="V47" i="34"/>
  <c r="S47" i="34"/>
  <c r="R47" i="34"/>
  <c r="AN47" i="34" s="1"/>
  <c r="A47" i="34"/>
  <c r="AJ46" i="34"/>
  <c r="AI46" i="34"/>
  <c r="AH46" i="34"/>
  <c r="AG46" i="34"/>
  <c r="AF46" i="34"/>
  <c r="AE46" i="34"/>
  <c r="AD46" i="34"/>
  <c r="AC46" i="34"/>
  <c r="AB46" i="34"/>
  <c r="AA46" i="34"/>
  <c r="Z46" i="34"/>
  <c r="Y46" i="34"/>
  <c r="X46" i="34"/>
  <c r="W46" i="34"/>
  <c r="V46" i="34"/>
  <c r="R46" i="34"/>
  <c r="A46" i="34"/>
  <c r="AI45" i="34"/>
  <c r="AH45" i="34"/>
  <c r="AG45" i="34"/>
  <c r="AF45" i="34"/>
  <c r="AE45" i="34"/>
  <c r="AD45" i="34"/>
  <c r="AC45" i="34"/>
  <c r="AB45" i="34"/>
  <c r="AA45" i="34"/>
  <c r="Z45" i="34"/>
  <c r="Y45" i="34"/>
  <c r="X45" i="34"/>
  <c r="W45" i="34"/>
  <c r="V45" i="34"/>
  <c r="R45" i="34"/>
  <c r="A45" i="34"/>
  <c r="AI44" i="34"/>
  <c r="AH44" i="34"/>
  <c r="AG44" i="34"/>
  <c r="AF44" i="34"/>
  <c r="AE44" i="34"/>
  <c r="AD44" i="34"/>
  <c r="AC44" i="34"/>
  <c r="AB44" i="34"/>
  <c r="AA44" i="34"/>
  <c r="Z44" i="34"/>
  <c r="Y44" i="34"/>
  <c r="X44" i="34"/>
  <c r="W44" i="34"/>
  <c r="V44" i="34"/>
  <c r="R44" i="34"/>
  <c r="AN44" i="34" s="1"/>
  <c r="A44" i="34"/>
  <c r="AK43" i="34"/>
  <c r="AL43" i="34" s="1"/>
  <c r="AI43" i="34"/>
  <c r="AH43" i="34"/>
  <c r="AG43" i="34"/>
  <c r="AF43" i="34"/>
  <c r="AE43" i="34"/>
  <c r="AD43" i="34"/>
  <c r="AC43" i="34"/>
  <c r="AB43" i="34"/>
  <c r="AA43" i="34"/>
  <c r="Z43" i="34"/>
  <c r="Y43" i="34"/>
  <c r="X43" i="34"/>
  <c r="W43" i="34"/>
  <c r="V43" i="34"/>
  <c r="S43" i="34"/>
  <c r="R43" i="34"/>
  <c r="AN43" i="34" s="1"/>
  <c r="A43" i="34"/>
  <c r="AK42" i="34"/>
  <c r="AL42" i="34" s="1"/>
  <c r="AI42" i="34"/>
  <c r="AH42" i="34"/>
  <c r="AG42" i="34"/>
  <c r="AF42" i="34"/>
  <c r="AE42" i="34"/>
  <c r="AD42" i="34"/>
  <c r="AC42" i="34"/>
  <c r="AB42" i="34"/>
  <c r="AA42" i="34"/>
  <c r="Z42" i="34"/>
  <c r="Y42" i="34"/>
  <c r="X42" i="34"/>
  <c r="W42" i="34"/>
  <c r="V42" i="34"/>
  <c r="S42" i="34"/>
  <c r="R42" i="34"/>
  <c r="AN42" i="34" s="1"/>
  <c r="A42" i="34"/>
  <c r="Q41" i="34"/>
  <c r="P41" i="34"/>
  <c r="O41" i="34"/>
  <c r="N41" i="34"/>
  <c r="M41" i="34"/>
  <c r="L41" i="34"/>
  <c r="K41" i="34"/>
  <c r="J41" i="34"/>
  <c r="I41" i="34"/>
  <c r="H41" i="34"/>
  <c r="G41" i="34"/>
  <c r="F41" i="34"/>
  <c r="E41" i="34"/>
  <c r="D41" i="34"/>
  <c r="C41" i="34"/>
  <c r="R41" i="34" s="1"/>
  <c r="AI40" i="34"/>
  <c r="AH40" i="34"/>
  <c r="AG40" i="34"/>
  <c r="AF40" i="34"/>
  <c r="AE40" i="34"/>
  <c r="AD40" i="34"/>
  <c r="AC40" i="34"/>
  <c r="AB40" i="34"/>
  <c r="AA40" i="34"/>
  <c r="Z40" i="34"/>
  <c r="Y40" i="34"/>
  <c r="X40" i="34"/>
  <c r="W40" i="34"/>
  <c r="V40" i="34"/>
  <c r="R40" i="34"/>
  <c r="AN39" i="34"/>
  <c r="AK39" i="34"/>
  <c r="AL39" i="34" s="1"/>
  <c r="AI39" i="34"/>
  <c r="AH39" i="34"/>
  <c r="AG39" i="34"/>
  <c r="AF39" i="34"/>
  <c r="AE39" i="34"/>
  <c r="AD39" i="34"/>
  <c r="AC39" i="34"/>
  <c r="AB39" i="34"/>
  <c r="AA39" i="34"/>
  <c r="Z39" i="34"/>
  <c r="Y39" i="34"/>
  <c r="X39" i="34"/>
  <c r="W39" i="34"/>
  <c r="V39" i="34"/>
  <c r="S39" i="34"/>
  <c r="R39" i="34"/>
  <c r="R156" i="34" s="1"/>
  <c r="V156" i="34" s="1"/>
  <c r="AN38" i="34"/>
  <c r="AK38" i="34"/>
  <c r="AL38" i="34" s="1"/>
  <c r="AI38" i="34"/>
  <c r="AH38" i="34"/>
  <c r="AG38" i="34"/>
  <c r="AF38" i="34"/>
  <c r="AE38" i="34"/>
  <c r="AD38" i="34"/>
  <c r="AC38" i="34"/>
  <c r="AB38" i="34"/>
  <c r="AA38" i="34"/>
  <c r="Z38" i="34"/>
  <c r="Y38" i="34"/>
  <c r="X38" i="34"/>
  <c r="W38" i="34"/>
  <c r="V38" i="34"/>
  <c r="S38" i="34"/>
  <c r="R38" i="34"/>
  <c r="R155" i="34" s="1"/>
  <c r="V155" i="34" s="1"/>
  <c r="AI37" i="34"/>
  <c r="AH37" i="34"/>
  <c r="AG37" i="34"/>
  <c r="AF37" i="34"/>
  <c r="AE37" i="34"/>
  <c r="AD37" i="34"/>
  <c r="AC37" i="34"/>
  <c r="AB37" i="34"/>
  <c r="AA37" i="34"/>
  <c r="Z37" i="34"/>
  <c r="Y37" i="34"/>
  <c r="X37" i="34"/>
  <c r="W37" i="34"/>
  <c r="V37" i="34"/>
  <c r="R37" i="34"/>
  <c r="AJ37" i="34" s="1"/>
  <c r="AI36" i="34"/>
  <c r="AH36" i="34"/>
  <c r="AG36" i="34"/>
  <c r="AF36" i="34"/>
  <c r="AE36" i="34"/>
  <c r="AD36" i="34"/>
  <c r="AC36" i="34"/>
  <c r="AB36" i="34"/>
  <c r="AA36" i="34"/>
  <c r="Z36" i="34"/>
  <c r="Y36" i="34"/>
  <c r="X36" i="34"/>
  <c r="W36" i="34"/>
  <c r="V36" i="34"/>
  <c r="R36" i="34"/>
  <c r="AN36" i="34" s="1"/>
  <c r="AN35" i="34"/>
  <c r="AK35" i="34"/>
  <c r="AL35" i="34" s="1"/>
  <c r="AI35" i="34"/>
  <c r="AH35" i="34"/>
  <c r="AG35" i="34"/>
  <c r="AF35" i="34"/>
  <c r="AE35" i="34"/>
  <c r="AD35" i="34"/>
  <c r="AC35" i="34"/>
  <c r="AB35" i="34"/>
  <c r="AA35" i="34"/>
  <c r="Z35" i="34"/>
  <c r="Y35" i="34"/>
  <c r="X35" i="34"/>
  <c r="W35" i="34"/>
  <c r="V35" i="34"/>
  <c r="S35" i="34"/>
  <c r="R35" i="34"/>
  <c r="R152" i="34" s="1"/>
  <c r="AN34" i="34"/>
  <c r="AK34" i="34"/>
  <c r="AL34" i="34" s="1"/>
  <c r="AI34" i="34"/>
  <c r="AH34" i="34"/>
  <c r="AG34" i="34"/>
  <c r="AF34" i="34"/>
  <c r="AE34" i="34"/>
  <c r="AD34" i="34"/>
  <c r="AC34" i="34"/>
  <c r="AB34" i="34"/>
  <c r="AA34" i="34"/>
  <c r="Z34" i="34"/>
  <c r="Y34" i="34"/>
  <c r="X34" i="34"/>
  <c r="W34" i="34"/>
  <c r="V34" i="34"/>
  <c r="S34" i="34"/>
  <c r="R34" i="34"/>
  <c r="R151" i="34" s="1"/>
  <c r="V151" i="34" s="1"/>
  <c r="AI33" i="34"/>
  <c r="AH33" i="34"/>
  <c r="AG33" i="34"/>
  <c r="AF33" i="34"/>
  <c r="AE33" i="34"/>
  <c r="AD33" i="34"/>
  <c r="AC33" i="34"/>
  <c r="AB33" i="34"/>
  <c r="AA33" i="34"/>
  <c r="Z33" i="34"/>
  <c r="Y33" i="34"/>
  <c r="X33" i="34"/>
  <c r="W33" i="34"/>
  <c r="V33" i="34"/>
  <c r="R33" i="34"/>
  <c r="AI32" i="34"/>
  <c r="AH32" i="34"/>
  <c r="AG32" i="34"/>
  <c r="AF32" i="34"/>
  <c r="AE32" i="34"/>
  <c r="AD32" i="34"/>
  <c r="AC32" i="34"/>
  <c r="AB32" i="34"/>
  <c r="AA32" i="34"/>
  <c r="Z32" i="34"/>
  <c r="Y32" i="34"/>
  <c r="X32" i="34"/>
  <c r="W32" i="34"/>
  <c r="V32" i="34"/>
  <c r="R32" i="34"/>
  <c r="AN31" i="34"/>
  <c r="AK31" i="34"/>
  <c r="AL31" i="34" s="1"/>
  <c r="AI31" i="34"/>
  <c r="AH31" i="34"/>
  <c r="AG31" i="34"/>
  <c r="AF31" i="34"/>
  <c r="AE31" i="34"/>
  <c r="AD31" i="34"/>
  <c r="AC31" i="34"/>
  <c r="AB31" i="34"/>
  <c r="AA31" i="34"/>
  <c r="Z31" i="34"/>
  <c r="Y31" i="34"/>
  <c r="X31" i="34"/>
  <c r="W31" i="34"/>
  <c r="V31" i="34"/>
  <c r="S31" i="34"/>
  <c r="R31" i="34"/>
  <c r="R148" i="34" s="1"/>
  <c r="V148" i="34" s="1"/>
  <c r="AN30" i="34"/>
  <c r="AK30" i="34"/>
  <c r="AL30" i="34" s="1"/>
  <c r="AI30" i="34"/>
  <c r="AH30" i="34"/>
  <c r="AG30" i="34"/>
  <c r="AF30" i="34"/>
  <c r="AE30" i="34"/>
  <c r="AD30" i="34"/>
  <c r="AC30" i="34"/>
  <c r="AB30" i="34"/>
  <c r="AA30" i="34"/>
  <c r="Z30" i="34"/>
  <c r="Y30" i="34"/>
  <c r="X30" i="34"/>
  <c r="W30" i="34"/>
  <c r="V30" i="34"/>
  <c r="S30" i="34"/>
  <c r="R30" i="34"/>
  <c r="R147" i="34" s="1"/>
  <c r="V147" i="34" s="1"/>
  <c r="AI29" i="34"/>
  <c r="AH29" i="34"/>
  <c r="AG29" i="34"/>
  <c r="AF29" i="34"/>
  <c r="AE29" i="34"/>
  <c r="AD29" i="34"/>
  <c r="AC29" i="34"/>
  <c r="AB29" i="34"/>
  <c r="AA29" i="34"/>
  <c r="Z29" i="34"/>
  <c r="Y29" i="34"/>
  <c r="X29" i="34"/>
  <c r="W29" i="34"/>
  <c r="V29" i="34"/>
  <c r="R29" i="34"/>
  <c r="AJ29" i="34" s="1"/>
  <c r="P28" i="34"/>
  <c r="M28" i="34"/>
  <c r="J28" i="34"/>
  <c r="H28" i="34"/>
  <c r="G28" i="34"/>
  <c r="E28" i="34"/>
  <c r="D28" i="34"/>
  <c r="C28" i="34"/>
  <c r="AK27" i="34"/>
  <c r="AL27" i="34" s="1"/>
  <c r="AI27" i="34"/>
  <c r="AH27" i="34"/>
  <c r="AG27" i="34"/>
  <c r="AF27" i="34"/>
  <c r="AE27" i="34"/>
  <c r="AD27" i="34"/>
  <c r="AC27" i="34"/>
  <c r="AB27" i="34"/>
  <c r="AA27" i="34"/>
  <c r="Z27" i="34"/>
  <c r="Y27" i="34"/>
  <c r="X27" i="34"/>
  <c r="W27" i="34"/>
  <c r="V27" i="34"/>
  <c r="R27" i="34"/>
  <c r="AK26" i="34"/>
  <c r="AL26" i="34" s="1"/>
  <c r="AI26" i="34"/>
  <c r="AH26" i="34"/>
  <c r="AG26" i="34"/>
  <c r="AF26" i="34"/>
  <c r="AE26" i="34"/>
  <c r="AD26" i="34"/>
  <c r="AC26" i="34"/>
  <c r="AB26" i="34"/>
  <c r="AA26" i="34"/>
  <c r="Z26" i="34"/>
  <c r="Y26" i="34"/>
  <c r="X26" i="34"/>
  <c r="W26" i="34"/>
  <c r="V26" i="34"/>
  <c r="R26" i="34"/>
  <c r="AI25" i="34"/>
  <c r="AH25" i="34"/>
  <c r="AG25" i="34"/>
  <c r="AF25" i="34"/>
  <c r="AE25" i="34"/>
  <c r="AD25" i="34"/>
  <c r="AC25" i="34"/>
  <c r="AB25" i="34"/>
  <c r="AA25" i="34"/>
  <c r="Z25" i="34"/>
  <c r="Y25" i="34"/>
  <c r="X25" i="34"/>
  <c r="W25" i="34"/>
  <c r="V25" i="34"/>
  <c r="R25" i="34"/>
  <c r="AN25" i="34" s="1"/>
  <c r="AK24" i="34"/>
  <c r="AL24" i="34" s="1"/>
  <c r="AI24" i="34"/>
  <c r="AH24" i="34"/>
  <c r="AG24" i="34"/>
  <c r="AF24" i="34"/>
  <c r="AE24" i="34"/>
  <c r="AD24" i="34"/>
  <c r="AC24" i="34"/>
  <c r="AB24" i="34"/>
  <c r="AA24" i="34"/>
  <c r="Z24" i="34"/>
  <c r="Y24" i="34"/>
  <c r="X24" i="34"/>
  <c r="W24" i="34"/>
  <c r="V24" i="34"/>
  <c r="R24" i="34"/>
  <c r="AK23" i="34"/>
  <c r="AL23" i="34" s="1"/>
  <c r="AI23" i="34"/>
  <c r="AH23" i="34"/>
  <c r="AG23" i="34"/>
  <c r="AF23" i="34"/>
  <c r="AE23" i="34"/>
  <c r="AD23" i="34"/>
  <c r="AC23" i="34"/>
  <c r="AB23" i="34"/>
  <c r="AA23" i="34"/>
  <c r="Z23" i="34"/>
  <c r="Y23" i="34"/>
  <c r="X23" i="34"/>
  <c r="W23" i="34"/>
  <c r="V23" i="34"/>
  <c r="R23" i="34"/>
  <c r="AK22" i="34"/>
  <c r="AL22" i="34" s="1"/>
  <c r="AI22" i="34"/>
  <c r="AH22" i="34"/>
  <c r="AG22" i="34"/>
  <c r="AF22" i="34"/>
  <c r="AE22" i="34"/>
  <c r="AD22" i="34"/>
  <c r="AC22" i="34"/>
  <c r="AB22" i="34"/>
  <c r="AA22" i="34"/>
  <c r="Z22" i="34"/>
  <c r="Y22" i="34"/>
  <c r="X22" i="34"/>
  <c r="W22" i="34"/>
  <c r="V22" i="34"/>
  <c r="R22" i="34"/>
  <c r="AI21" i="34"/>
  <c r="AH21" i="34"/>
  <c r="AG21" i="34"/>
  <c r="AF21" i="34"/>
  <c r="AE21" i="34"/>
  <c r="AD21" i="34"/>
  <c r="AC21" i="34"/>
  <c r="AB21" i="34"/>
  <c r="AA21" i="34"/>
  <c r="Z21" i="34"/>
  <c r="Y21" i="34"/>
  <c r="X21" i="34"/>
  <c r="W21" i="34"/>
  <c r="V21" i="34"/>
  <c r="R21" i="34"/>
  <c r="AN21" i="34" s="1"/>
  <c r="AK20" i="34"/>
  <c r="AL20" i="34" s="1"/>
  <c r="AI20" i="34"/>
  <c r="AH20" i="34"/>
  <c r="AG20" i="34"/>
  <c r="AF20" i="34"/>
  <c r="AE20" i="34"/>
  <c r="AD20" i="34"/>
  <c r="AC20" i="34"/>
  <c r="AB20" i="34"/>
  <c r="AA20" i="34"/>
  <c r="Z20" i="34"/>
  <c r="Y20" i="34"/>
  <c r="X20" i="34"/>
  <c r="W20" i="34"/>
  <c r="V20" i="34"/>
  <c r="R20" i="34"/>
  <c r="AJ20" i="34" s="1"/>
  <c r="AK19" i="34"/>
  <c r="AL19" i="34" s="1"/>
  <c r="AI19" i="34"/>
  <c r="AH19" i="34"/>
  <c r="AG19" i="34"/>
  <c r="AF19" i="34"/>
  <c r="AE19" i="34"/>
  <c r="AC19" i="34"/>
  <c r="AB19" i="34"/>
  <c r="AA19" i="34"/>
  <c r="Z19" i="34"/>
  <c r="Y19" i="34"/>
  <c r="X19" i="34"/>
  <c r="W19" i="34"/>
  <c r="V19" i="34"/>
  <c r="R19" i="34"/>
  <c r="AH18" i="34"/>
  <c r="AF18" i="34"/>
  <c r="AE18" i="34"/>
  <c r="AC18" i="34"/>
  <c r="AB18" i="34"/>
  <c r="AA18" i="34"/>
  <c r="Z18" i="34"/>
  <c r="Y18" i="34"/>
  <c r="X18" i="34"/>
  <c r="W18" i="34"/>
  <c r="V18" i="34"/>
  <c r="Q18" i="34"/>
  <c r="N18" i="34"/>
  <c r="K18" i="34"/>
  <c r="AH17" i="34"/>
  <c r="AF17" i="34"/>
  <c r="AE17" i="34"/>
  <c r="AD17" i="34"/>
  <c r="AC17" i="34"/>
  <c r="AB17" i="34"/>
  <c r="AA17" i="34"/>
  <c r="Z17" i="34"/>
  <c r="Y17" i="34"/>
  <c r="X17" i="34"/>
  <c r="W17" i="34"/>
  <c r="V17" i="34"/>
  <c r="Q17" i="34"/>
  <c r="N17" i="34"/>
  <c r="K17" i="34"/>
  <c r="AI16" i="34"/>
  <c r="AH16" i="34"/>
  <c r="AG16" i="34"/>
  <c r="AF16" i="34"/>
  <c r="AE16" i="34"/>
  <c r="AD16" i="34"/>
  <c r="AC16" i="34"/>
  <c r="AB16" i="34"/>
  <c r="AA16" i="34"/>
  <c r="Z16" i="34"/>
  <c r="Y16" i="34"/>
  <c r="X16" i="34"/>
  <c r="W16" i="34"/>
  <c r="V16" i="34"/>
  <c r="R16" i="34"/>
  <c r="AN16" i="34" s="1"/>
  <c r="Q15" i="34"/>
  <c r="P15" i="34"/>
  <c r="N15" i="34"/>
  <c r="M15" i="34"/>
  <c r="K15" i="34"/>
  <c r="J15" i="34"/>
  <c r="H15" i="34"/>
  <c r="G15" i="34"/>
  <c r="R15" i="34" s="1"/>
  <c r="AN15" i="34" s="1"/>
  <c r="E15" i="34"/>
  <c r="D15" i="34"/>
  <c r="C15" i="34"/>
  <c r="AN14" i="34"/>
  <c r="AI14" i="34"/>
  <c r="AH14" i="34"/>
  <c r="AG14" i="34"/>
  <c r="AF14" i="34"/>
  <c r="AE14" i="34"/>
  <c r="AD14" i="34"/>
  <c r="AC14" i="34"/>
  <c r="AB14" i="34"/>
  <c r="AA14" i="34"/>
  <c r="Z14" i="34"/>
  <c r="Y14" i="34"/>
  <c r="X14" i="34"/>
  <c r="W14" i="34"/>
  <c r="V14" i="34"/>
  <c r="R14" i="34"/>
  <c r="AJ13" i="34"/>
  <c r="AI13" i="34"/>
  <c r="AH13" i="34"/>
  <c r="AG13" i="34"/>
  <c r="AF13" i="34"/>
  <c r="AE13" i="34"/>
  <c r="AD13" i="34"/>
  <c r="AC13" i="34"/>
  <c r="AB13" i="34"/>
  <c r="AA13" i="34"/>
  <c r="Z13" i="34"/>
  <c r="Y13" i="34"/>
  <c r="X13" i="34"/>
  <c r="W13" i="34"/>
  <c r="V13" i="34"/>
  <c r="R13" i="34"/>
  <c r="AN13" i="34" s="1"/>
  <c r="AN12" i="34"/>
  <c r="AI12" i="34"/>
  <c r="AH12" i="34"/>
  <c r="AG12" i="34"/>
  <c r="AF12" i="34"/>
  <c r="AE12" i="34"/>
  <c r="AD12" i="34"/>
  <c r="AC12" i="34"/>
  <c r="AB12" i="34"/>
  <c r="AA12" i="34"/>
  <c r="Z12" i="34"/>
  <c r="Y12" i="34"/>
  <c r="X12" i="34"/>
  <c r="W12" i="34"/>
  <c r="V12" i="34"/>
  <c r="R12" i="34"/>
  <c r="AJ12" i="34" s="1"/>
  <c r="AJ11" i="34"/>
  <c r="AI11" i="34"/>
  <c r="AH11" i="34"/>
  <c r="AG11" i="34"/>
  <c r="AF11" i="34"/>
  <c r="AE11" i="34"/>
  <c r="AD11" i="34"/>
  <c r="AC11" i="34"/>
  <c r="AB11" i="34"/>
  <c r="AA11" i="34"/>
  <c r="Z11" i="34"/>
  <c r="Y11" i="34"/>
  <c r="X11" i="34"/>
  <c r="W11" i="34"/>
  <c r="V11" i="34"/>
  <c r="R11" i="34"/>
  <c r="AN11" i="34" s="1"/>
  <c r="AN10" i="34"/>
  <c r="AI10" i="34"/>
  <c r="AH10" i="34"/>
  <c r="AG10" i="34"/>
  <c r="AF10" i="34"/>
  <c r="AE10" i="34"/>
  <c r="AD10" i="34"/>
  <c r="AC10" i="34"/>
  <c r="AB10" i="34"/>
  <c r="AA10" i="34"/>
  <c r="Z10" i="34"/>
  <c r="Y10" i="34"/>
  <c r="X10" i="34"/>
  <c r="W10" i="34"/>
  <c r="V10" i="34"/>
  <c r="R10" i="34"/>
  <c r="AJ10" i="34" s="1"/>
  <c r="AI9" i="34"/>
  <c r="AH9" i="34"/>
  <c r="AG9" i="34"/>
  <c r="AF9" i="34"/>
  <c r="AE9" i="34"/>
  <c r="AD9" i="34"/>
  <c r="AC9" i="34"/>
  <c r="AB9" i="34"/>
  <c r="AA9" i="34"/>
  <c r="Z9" i="34"/>
  <c r="Y9" i="34"/>
  <c r="X9" i="34"/>
  <c r="W9" i="34"/>
  <c r="V9" i="34"/>
  <c r="R9" i="34"/>
  <c r="AN9" i="34" s="1"/>
  <c r="AI8" i="34"/>
  <c r="AH8" i="34"/>
  <c r="AG8" i="34"/>
  <c r="AF8" i="34"/>
  <c r="AE8" i="34"/>
  <c r="AD8" i="34"/>
  <c r="AC8" i="34"/>
  <c r="AB8" i="34"/>
  <c r="AA8" i="34"/>
  <c r="Z8" i="34"/>
  <c r="Y8" i="34"/>
  <c r="X8" i="34"/>
  <c r="W8" i="34"/>
  <c r="V8" i="34"/>
  <c r="R8" i="34"/>
  <c r="AJ9" i="34" s="1"/>
  <c r="AJ7" i="34"/>
  <c r="AI7" i="34"/>
  <c r="AH7" i="34"/>
  <c r="AG7" i="34"/>
  <c r="AF7" i="34"/>
  <c r="AE7" i="34"/>
  <c r="AD7" i="34"/>
  <c r="AC7" i="34"/>
  <c r="AB7" i="34"/>
  <c r="AA7" i="34"/>
  <c r="Z7" i="34"/>
  <c r="Y7" i="34"/>
  <c r="X7" i="34"/>
  <c r="W7" i="34"/>
  <c r="V7" i="34"/>
  <c r="R7" i="34"/>
  <c r="AJ8" i="34" s="1"/>
  <c r="AN6" i="34"/>
  <c r="AI6" i="34"/>
  <c r="AH6" i="34"/>
  <c r="AG6" i="34"/>
  <c r="AF6" i="34"/>
  <c r="AE6" i="34"/>
  <c r="AD6" i="34"/>
  <c r="AC6" i="34"/>
  <c r="AB6" i="34"/>
  <c r="AA6" i="34"/>
  <c r="Z6" i="34"/>
  <c r="Y6" i="34"/>
  <c r="X6" i="34"/>
  <c r="W6" i="34"/>
  <c r="V6" i="34"/>
  <c r="R6" i="34"/>
  <c r="AJ6" i="34" s="1"/>
  <c r="AJ5" i="34"/>
  <c r="AI5" i="34"/>
  <c r="AH5" i="34"/>
  <c r="AG5" i="34"/>
  <c r="AF5" i="34"/>
  <c r="AE5" i="34"/>
  <c r="AD5" i="34"/>
  <c r="AC5" i="34"/>
  <c r="AB5" i="34"/>
  <c r="AA5" i="34"/>
  <c r="Z5" i="34"/>
  <c r="Y5" i="34"/>
  <c r="X5" i="34"/>
  <c r="W5" i="34"/>
  <c r="V5" i="34"/>
  <c r="R5" i="34"/>
  <c r="AN5" i="34" s="1"/>
  <c r="AN4" i="34"/>
  <c r="AI4" i="34"/>
  <c r="AH4" i="34"/>
  <c r="AG4" i="34"/>
  <c r="AF4" i="34"/>
  <c r="AE4" i="34"/>
  <c r="AD4" i="34"/>
  <c r="AC4" i="34"/>
  <c r="AB4" i="34"/>
  <c r="AA4" i="34"/>
  <c r="Z4" i="34"/>
  <c r="Y4" i="34"/>
  <c r="X4" i="34"/>
  <c r="W4" i="34"/>
  <c r="V4" i="34"/>
  <c r="R4" i="34"/>
  <c r="AJ4" i="34" s="1"/>
  <c r="R3" i="34"/>
  <c r="AN3" i="34" s="1"/>
  <c r="AB1" i="34"/>
  <c r="L114" i="28"/>
  <c r="H114" i="28"/>
  <c r="P113" i="28"/>
  <c r="O113" i="28"/>
  <c r="N113" i="28"/>
  <c r="M113" i="28"/>
  <c r="L113" i="28"/>
  <c r="K113" i="28"/>
  <c r="J113" i="28"/>
  <c r="I113" i="28"/>
  <c r="H113" i="28"/>
  <c r="G113" i="28"/>
  <c r="F113" i="28"/>
  <c r="E113" i="28"/>
  <c r="Q113" i="28" s="1"/>
  <c r="J112" i="28"/>
  <c r="J114" i="28" s="1"/>
  <c r="P111" i="28"/>
  <c r="O111" i="28"/>
  <c r="N111" i="28"/>
  <c r="M111" i="28"/>
  <c r="L111" i="28"/>
  <c r="K111" i="28"/>
  <c r="J111" i="28"/>
  <c r="I111" i="28"/>
  <c r="H111" i="28"/>
  <c r="G111" i="28"/>
  <c r="F111" i="28"/>
  <c r="E111" i="28"/>
  <c r="Q111" i="28" s="1"/>
  <c r="P110" i="28"/>
  <c r="O110" i="28"/>
  <c r="N110" i="28"/>
  <c r="M110" i="28"/>
  <c r="L110" i="28"/>
  <c r="K110" i="28"/>
  <c r="J110" i="28"/>
  <c r="I110" i="28"/>
  <c r="H110" i="28"/>
  <c r="G110" i="28"/>
  <c r="F110" i="28"/>
  <c r="E110" i="28"/>
  <c r="P109" i="28"/>
  <c r="P112" i="28" s="1"/>
  <c r="P114" i="28" s="1"/>
  <c r="P108" i="28"/>
  <c r="O108" i="28"/>
  <c r="N108" i="28"/>
  <c r="M108" i="28"/>
  <c r="L108" i="28"/>
  <c r="K108" i="28"/>
  <c r="J108" i="28"/>
  <c r="I108" i="28"/>
  <c r="I109" i="28" s="1"/>
  <c r="I112" i="28" s="1"/>
  <c r="I114" i="28" s="1"/>
  <c r="H108" i="28"/>
  <c r="G108" i="28"/>
  <c r="F108" i="28"/>
  <c r="E108" i="28"/>
  <c r="E109" i="28" s="1"/>
  <c r="P107" i="28"/>
  <c r="O107" i="28"/>
  <c r="N107" i="28"/>
  <c r="N109" i="28" s="1"/>
  <c r="N112" i="28" s="1"/>
  <c r="N114" i="28" s="1"/>
  <c r="M107" i="28"/>
  <c r="L107" i="28"/>
  <c r="K107" i="28"/>
  <c r="J107" i="28"/>
  <c r="J109" i="28" s="1"/>
  <c r="I107" i="28"/>
  <c r="H107" i="28"/>
  <c r="G107" i="28"/>
  <c r="F107" i="28"/>
  <c r="E107" i="28"/>
  <c r="Q107" i="28" s="1"/>
  <c r="P106" i="28"/>
  <c r="O106" i="28"/>
  <c r="N106" i="28"/>
  <c r="M106" i="28"/>
  <c r="L106" i="28"/>
  <c r="K106" i="28"/>
  <c r="J106" i="28"/>
  <c r="I106" i="28"/>
  <c r="H106" i="28"/>
  <c r="G106" i="28"/>
  <c r="F106" i="28"/>
  <c r="E106" i="28"/>
  <c r="Q106" i="28" s="1"/>
  <c r="P105" i="28"/>
  <c r="O105" i="28"/>
  <c r="N105" i="28"/>
  <c r="M105" i="28"/>
  <c r="L105" i="28"/>
  <c r="L109" i="28" s="1"/>
  <c r="L112" i="28" s="1"/>
  <c r="K105" i="28"/>
  <c r="J105" i="28"/>
  <c r="I105" i="28"/>
  <c r="H105" i="28"/>
  <c r="H109" i="28" s="1"/>
  <c r="H112" i="28" s="1"/>
  <c r="G105" i="28"/>
  <c r="F105" i="28"/>
  <c r="E105" i="28"/>
  <c r="Q105" i="28" s="1"/>
  <c r="P104" i="28"/>
  <c r="O104" i="28"/>
  <c r="N104" i="28"/>
  <c r="M104" i="28"/>
  <c r="L104" i="28"/>
  <c r="K104" i="28"/>
  <c r="J104" i="28"/>
  <c r="I104" i="28"/>
  <c r="H104" i="28"/>
  <c r="G104" i="28"/>
  <c r="F104" i="28"/>
  <c r="F109" i="28" s="1"/>
  <c r="F112" i="28" s="1"/>
  <c r="F114" i="28" s="1"/>
  <c r="E104" i="28"/>
  <c r="Q104" i="28" s="1"/>
  <c r="K103" i="28"/>
  <c r="F103" i="28"/>
  <c r="Q102" i="28"/>
  <c r="N101" i="28"/>
  <c r="N103" i="28" s="1"/>
  <c r="J101" i="28"/>
  <c r="J103" i="28" s="1"/>
  <c r="I101" i="28"/>
  <c r="I103" i="28" s="1"/>
  <c r="F101" i="28"/>
  <c r="E101" i="28"/>
  <c r="Q100" i="28"/>
  <c r="Q99" i="28"/>
  <c r="P98" i="28"/>
  <c r="P101" i="28" s="1"/>
  <c r="P103" i="28" s="1"/>
  <c r="O98" i="28"/>
  <c r="O101" i="28" s="1"/>
  <c r="O103" i="28" s="1"/>
  <c r="N98" i="28"/>
  <c r="M98" i="28"/>
  <c r="M101" i="28" s="1"/>
  <c r="M103" i="28" s="1"/>
  <c r="L98" i="28"/>
  <c r="L101" i="28" s="1"/>
  <c r="L103" i="28" s="1"/>
  <c r="K98" i="28"/>
  <c r="K101" i="28" s="1"/>
  <c r="J98" i="28"/>
  <c r="I98" i="28"/>
  <c r="H98" i="28"/>
  <c r="H101" i="28" s="1"/>
  <c r="H103" i="28" s="1"/>
  <c r="G98" i="28"/>
  <c r="G101" i="28" s="1"/>
  <c r="G103" i="28" s="1"/>
  <c r="F98" i="28"/>
  <c r="E98" i="28"/>
  <c r="Q97" i="28"/>
  <c r="Q96" i="28"/>
  <c r="Q95" i="28"/>
  <c r="Q94" i="28"/>
  <c r="Q93" i="28"/>
  <c r="N92" i="28"/>
  <c r="M92" i="28"/>
  <c r="I92" i="28"/>
  <c r="F92" i="28"/>
  <c r="Q91" i="28"/>
  <c r="M90" i="28"/>
  <c r="L90" i="28"/>
  <c r="L92" i="28" s="1"/>
  <c r="I90" i="28"/>
  <c r="E90" i="28"/>
  <c r="Q89" i="28"/>
  <c r="Q88" i="28"/>
  <c r="P87" i="28"/>
  <c r="P90" i="28" s="1"/>
  <c r="P92" i="28" s="1"/>
  <c r="O87" i="28"/>
  <c r="O90" i="28" s="1"/>
  <c r="O92" i="28" s="1"/>
  <c r="N87" i="28"/>
  <c r="N90" i="28" s="1"/>
  <c r="M87" i="28"/>
  <c r="L87" i="28"/>
  <c r="K87" i="28"/>
  <c r="K90" i="28" s="1"/>
  <c r="K92" i="28" s="1"/>
  <c r="J87" i="28"/>
  <c r="J90" i="28" s="1"/>
  <c r="J92" i="28" s="1"/>
  <c r="I87" i="28"/>
  <c r="H87" i="28"/>
  <c r="H90" i="28" s="1"/>
  <c r="H92" i="28" s="1"/>
  <c r="G87" i="28"/>
  <c r="G90" i="28" s="1"/>
  <c r="G92" i="28" s="1"/>
  <c r="F87" i="28"/>
  <c r="F90" i="28" s="1"/>
  <c r="E87" i="28"/>
  <c r="Q86" i="28"/>
  <c r="Q85" i="28"/>
  <c r="Q84" i="28"/>
  <c r="Q83" i="28"/>
  <c r="Q82" i="28"/>
  <c r="P75" i="28"/>
  <c r="O75" i="28"/>
  <c r="N75" i="28"/>
  <c r="M75" i="28"/>
  <c r="L75" i="28"/>
  <c r="K75" i="28"/>
  <c r="J75" i="28"/>
  <c r="I75" i="28"/>
  <c r="H75" i="28"/>
  <c r="G75" i="28"/>
  <c r="F75" i="28"/>
  <c r="E75" i="28"/>
  <c r="P74" i="28"/>
  <c r="O74" i="28"/>
  <c r="N74" i="28"/>
  <c r="M74" i="28"/>
  <c r="L74" i="28"/>
  <c r="K74" i="28"/>
  <c r="J74" i="28"/>
  <c r="I74" i="28"/>
  <c r="H74" i="28"/>
  <c r="G74" i="28"/>
  <c r="F74" i="28"/>
  <c r="E74" i="28"/>
  <c r="P72" i="28"/>
  <c r="O72" i="28"/>
  <c r="N72" i="28"/>
  <c r="M72" i="28"/>
  <c r="L72" i="28"/>
  <c r="K72" i="28"/>
  <c r="J72" i="28"/>
  <c r="I72" i="28"/>
  <c r="H72" i="28"/>
  <c r="G72" i="28"/>
  <c r="F72" i="28"/>
  <c r="E72" i="28"/>
  <c r="P71" i="28"/>
  <c r="O71" i="28"/>
  <c r="N71" i="28"/>
  <c r="M71" i="28"/>
  <c r="L71" i="28"/>
  <c r="K71" i="28"/>
  <c r="J71" i="28"/>
  <c r="I71" i="28"/>
  <c r="H71" i="28"/>
  <c r="G71" i="28"/>
  <c r="F71" i="28"/>
  <c r="E71" i="28"/>
  <c r="R69" i="28"/>
  <c r="Q69" i="28"/>
  <c r="P68" i="28"/>
  <c r="O68" i="28"/>
  <c r="N68" i="28"/>
  <c r="M68" i="28"/>
  <c r="L68" i="28"/>
  <c r="K68" i="28"/>
  <c r="J68" i="28"/>
  <c r="I68" i="28"/>
  <c r="H68" i="28"/>
  <c r="G68" i="28"/>
  <c r="F68" i="28"/>
  <c r="E68" i="28"/>
  <c r="P67" i="28"/>
  <c r="O67" i="28"/>
  <c r="N67" i="28"/>
  <c r="M67" i="28"/>
  <c r="L67" i="28"/>
  <c r="K67" i="28"/>
  <c r="J67" i="28"/>
  <c r="I67" i="28"/>
  <c r="H67" i="28"/>
  <c r="G67" i="28"/>
  <c r="F67" i="28"/>
  <c r="E67" i="28"/>
  <c r="P66" i="28"/>
  <c r="O66" i="28"/>
  <c r="N66" i="28"/>
  <c r="M66" i="28"/>
  <c r="L66" i="28"/>
  <c r="K66" i="28"/>
  <c r="J66" i="28"/>
  <c r="I66" i="28"/>
  <c r="H66" i="28"/>
  <c r="G66" i="28"/>
  <c r="F66" i="28"/>
  <c r="E66" i="28"/>
  <c r="P65" i="28"/>
  <c r="P70" i="28" s="1"/>
  <c r="O65" i="28"/>
  <c r="O70" i="28" s="1"/>
  <c r="N65" i="28"/>
  <c r="N70" i="28" s="1"/>
  <c r="M65" i="28"/>
  <c r="L65" i="28"/>
  <c r="L70" i="28" s="1"/>
  <c r="K65" i="28"/>
  <c r="K70" i="28" s="1"/>
  <c r="J65" i="28"/>
  <c r="J70" i="28" s="1"/>
  <c r="I65" i="28"/>
  <c r="H65" i="28"/>
  <c r="H70" i="28" s="1"/>
  <c r="G65" i="28"/>
  <c r="G70" i="28" s="1"/>
  <c r="F65" i="28"/>
  <c r="F70" i="28" s="1"/>
  <c r="E65" i="28"/>
  <c r="P64" i="28"/>
  <c r="O64" i="28"/>
  <c r="N64" i="28"/>
  <c r="M64" i="28"/>
  <c r="L64" i="28"/>
  <c r="K64" i="28"/>
  <c r="J64" i="28"/>
  <c r="I64" i="28"/>
  <c r="H64" i="28"/>
  <c r="G64" i="28"/>
  <c r="F64" i="28"/>
  <c r="E64" i="28"/>
  <c r="P63" i="28"/>
  <c r="O63" i="28"/>
  <c r="N63" i="28"/>
  <c r="M63" i="28"/>
  <c r="L63" i="28"/>
  <c r="K63" i="28"/>
  <c r="J63" i="28"/>
  <c r="I63" i="28"/>
  <c r="H63" i="28"/>
  <c r="G63" i="28"/>
  <c r="F63" i="28"/>
  <c r="E63" i="28"/>
  <c r="P61" i="28"/>
  <c r="O61" i="28"/>
  <c r="N61" i="28"/>
  <c r="M61" i="28"/>
  <c r="L61" i="28"/>
  <c r="K61" i="28"/>
  <c r="J61" i="28"/>
  <c r="I61" i="28"/>
  <c r="H61" i="28"/>
  <c r="G61" i="28"/>
  <c r="F61" i="28"/>
  <c r="E61" i="28"/>
  <c r="P60" i="28"/>
  <c r="O60" i="28"/>
  <c r="N60" i="28"/>
  <c r="M60" i="28"/>
  <c r="L60" i="28"/>
  <c r="K60" i="28"/>
  <c r="J60" i="28"/>
  <c r="I60" i="28"/>
  <c r="H60" i="28"/>
  <c r="G60" i="28"/>
  <c r="F60" i="28"/>
  <c r="E60" i="28"/>
  <c r="Q58" i="28"/>
  <c r="R58" i="28" s="1"/>
  <c r="P57" i="28"/>
  <c r="O57" i="28"/>
  <c r="N57" i="28"/>
  <c r="M57" i="28"/>
  <c r="L57" i="28"/>
  <c r="K57" i="28"/>
  <c r="J57" i="28"/>
  <c r="I57" i="28"/>
  <c r="H57" i="28"/>
  <c r="G57" i="28"/>
  <c r="F57" i="28"/>
  <c r="E57" i="28"/>
  <c r="P56" i="28"/>
  <c r="O56" i="28"/>
  <c r="N56" i="28"/>
  <c r="M56" i="28"/>
  <c r="L56" i="28"/>
  <c r="K56" i="28"/>
  <c r="J56" i="28"/>
  <c r="I56" i="28"/>
  <c r="H56" i="28"/>
  <c r="G56" i="28"/>
  <c r="F56" i="28"/>
  <c r="E56" i="28"/>
  <c r="P55" i="28"/>
  <c r="O55" i="28"/>
  <c r="N55" i="28"/>
  <c r="M55" i="28"/>
  <c r="L55" i="28"/>
  <c r="K55" i="28"/>
  <c r="J55" i="28"/>
  <c r="I55" i="28"/>
  <c r="H55" i="28"/>
  <c r="G55" i="28"/>
  <c r="F55" i="28"/>
  <c r="E55" i="28"/>
  <c r="P54" i="28"/>
  <c r="P59" i="28" s="1"/>
  <c r="O54" i="28"/>
  <c r="N54" i="28"/>
  <c r="N59" i="28" s="1"/>
  <c r="M54" i="28"/>
  <c r="L54" i="28"/>
  <c r="L59" i="28" s="1"/>
  <c r="K54" i="28"/>
  <c r="K59" i="28" s="1"/>
  <c r="J54" i="28"/>
  <c r="J59" i="28" s="1"/>
  <c r="I54" i="28"/>
  <c r="H54" i="28"/>
  <c r="H59" i="28" s="1"/>
  <c r="G54" i="28"/>
  <c r="F54" i="28"/>
  <c r="F59" i="28" s="1"/>
  <c r="E54" i="28"/>
  <c r="P53" i="28"/>
  <c r="O53" i="28"/>
  <c r="N53" i="28"/>
  <c r="M53" i="28"/>
  <c r="L53" i="28"/>
  <c r="K53" i="28"/>
  <c r="J53" i="28"/>
  <c r="I53" i="28"/>
  <c r="H53" i="28"/>
  <c r="G53" i="28"/>
  <c r="F53" i="28"/>
  <c r="E53" i="28"/>
  <c r="P52" i="28"/>
  <c r="O52" i="28"/>
  <c r="N52" i="28"/>
  <c r="M52" i="28"/>
  <c r="L52" i="28"/>
  <c r="K52" i="28"/>
  <c r="J52" i="28"/>
  <c r="I52" i="28"/>
  <c r="H52" i="28"/>
  <c r="G52" i="28"/>
  <c r="F52" i="28"/>
  <c r="E52" i="28"/>
  <c r="P50" i="28"/>
  <c r="O50" i="28"/>
  <c r="N50" i="28"/>
  <c r="M50" i="28"/>
  <c r="L50" i="28"/>
  <c r="K50" i="28"/>
  <c r="J50" i="28"/>
  <c r="I50" i="28"/>
  <c r="H50" i="28"/>
  <c r="G50" i="28"/>
  <c r="F50" i="28"/>
  <c r="E50" i="28"/>
  <c r="P49" i="28"/>
  <c r="O49" i="28"/>
  <c r="N49" i="28"/>
  <c r="M49" i="28"/>
  <c r="L49" i="28"/>
  <c r="K49" i="28"/>
  <c r="J49" i="28"/>
  <c r="I49" i="28"/>
  <c r="H49" i="28"/>
  <c r="G49" i="28"/>
  <c r="F49" i="28"/>
  <c r="E49" i="28"/>
  <c r="R47" i="28"/>
  <c r="Q47" i="28"/>
  <c r="P46" i="28"/>
  <c r="O46" i="28"/>
  <c r="N46" i="28"/>
  <c r="M46" i="28"/>
  <c r="L46" i="28"/>
  <c r="K46" i="28"/>
  <c r="J46" i="28"/>
  <c r="I46" i="28"/>
  <c r="H46" i="28"/>
  <c r="G46" i="28"/>
  <c r="F46" i="28"/>
  <c r="E46" i="28"/>
  <c r="P45" i="28"/>
  <c r="O45" i="28"/>
  <c r="N45" i="28"/>
  <c r="M45" i="28"/>
  <c r="L45" i="28"/>
  <c r="K45" i="28"/>
  <c r="J45" i="28"/>
  <c r="I45" i="28"/>
  <c r="H45" i="28"/>
  <c r="G45" i="28"/>
  <c r="F45" i="28"/>
  <c r="E45" i="28"/>
  <c r="P44" i="28"/>
  <c r="O44" i="28"/>
  <c r="N44" i="28"/>
  <c r="M44" i="28"/>
  <c r="L44" i="28"/>
  <c r="K44" i="28"/>
  <c r="J44" i="28"/>
  <c r="I44" i="28"/>
  <c r="H44" i="28"/>
  <c r="G44" i="28"/>
  <c r="F44" i="28"/>
  <c r="E44" i="28"/>
  <c r="P43" i="28"/>
  <c r="P48" i="28" s="1"/>
  <c r="O43" i="28"/>
  <c r="O48" i="28" s="1"/>
  <c r="N43" i="28"/>
  <c r="N48" i="28" s="1"/>
  <c r="M43" i="28"/>
  <c r="M48" i="28" s="1"/>
  <c r="L43" i="28"/>
  <c r="L48" i="28" s="1"/>
  <c r="K43" i="28"/>
  <c r="K48" i="28" s="1"/>
  <c r="J43" i="28"/>
  <c r="J48" i="28" s="1"/>
  <c r="I43" i="28"/>
  <c r="H43" i="28"/>
  <c r="H48" i="28" s="1"/>
  <c r="G43" i="28"/>
  <c r="G48" i="28" s="1"/>
  <c r="F43" i="28"/>
  <c r="F48" i="28" s="1"/>
  <c r="E43" i="28"/>
  <c r="P36" i="28"/>
  <c r="O36" i="28"/>
  <c r="N36" i="28"/>
  <c r="M36" i="28"/>
  <c r="L36" i="28"/>
  <c r="K36" i="28"/>
  <c r="P35" i="28"/>
  <c r="O35" i="28"/>
  <c r="N35" i="28"/>
  <c r="M35" i="28"/>
  <c r="L35" i="28"/>
  <c r="K35" i="28"/>
  <c r="P33" i="28"/>
  <c r="O33" i="28"/>
  <c r="N33" i="28"/>
  <c r="M33" i="28"/>
  <c r="L33" i="28"/>
  <c r="K33" i="28"/>
  <c r="P32" i="28"/>
  <c r="O32" i="28"/>
  <c r="N32" i="28"/>
  <c r="M32" i="28"/>
  <c r="L32" i="28"/>
  <c r="K32" i="28"/>
  <c r="Q30" i="28"/>
  <c r="R30" i="28" s="1"/>
  <c r="P29" i="28"/>
  <c r="O29" i="28"/>
  <c r="N29" i="28"/>
  <c r="M29" i="28"/>
  <c r="L29" i="28"/>
  <c r="K29" i="28"/>
  <c r="P28" i="28"/>
  <c r="O28" i="28"/>
  <c r="N28" i="28"/>
  <c r="M28" i="28"/>
  <c r="L28" i="28"/>
  <c r="K28" i="28"/>
  <c r="P27" i="28"/>
  <c r="O27" i="28"/>
  <c r="N27" i="28"/>
  <c r="M27" i="28"/>
  <c r="L27" i="28"/>
  <c r="K27" i="28"/>
  <c r="P26" i="28"/>
  <c r="O26" i="28"/>
  <c r="N26" i="28"/>
  <c r="M26" i="28"/>
  <c r="L26" i="28"/>
  <c r="K26" i="28"/>
  <c r="P25" i="28"/>
  <c r="O25" i="28"/>
  <c r="N25" i="28"/>
  <c r="M25" i="28"/>
  <c r="L25" i="28"/>
  <c r="K25" i="28"/>
  <c r="P24" i="28"/>
  <c r="O24" i="28"/>
  <c r="N24" i="28"/>
  <c r="M24" i="28"/>
  <c r="L24" i="28"/>
  <c r="K24" i="28"/>
  <c r="P22" i="28"/>
  <c r="O22" i="28"/>
  <c r="N22" i="28"/>
  <c r="M22" i="28"/>
  <c r="L22" i="28"/>
  <c r="K22" i="28"/>
  <c r="P21" i="28"/>
  <c r="O21" i="28"/>
  <c r="N21" i="28"/>
  <c r="M21" i="28"/>
  <c r="L21" i="28"/>
  <c r="K21" i="28"/>
  <c r="R19" i="28"/>
  <c r="Q19" i="28"/>
  <c r="P18" i="28"/>
  <c r="O18" i="28"/>
  <c r="N18" i="28"/>
  <c r="M18" i="28"/>
  <c r="L18" i="28"/>
  <c r="K18" i="28"/>
  <c r="P17" i="28"/>
  <c r="O17" i="28"/>
  <c r="N17" i="28"/>
  <c r="M17" i="28"/>
  <c r="L17" i="28"/>
  <c r="K17" i="28"/>
  <c r="P16" i="28"/>
  <c r="O16" i="28"/>
  <c r="N16" i="28"/>
  <c r="M16" i="28"/>
  <c r="L16" i="28"/>
  <c r="K16" i="28"/>
  <c r="P15" i="28"/>
  <c r="O15" i="28"/>
  <c r="N15" i="28"/>
  <c r="M15" i="28"/>
  <c r="L15" i="28"/>
  <c r="K15" i="28"/>
  <c r="P14" i="28"/>
  <c r="O14" i="28"/>
  <c r="N14" i="28"/>
  <c r="M14" i="28"/>
  <c r="L14" i="28"/>
  <c r="K14" i="28"/>
  <c r="P13" i="28"/>
  <c r="O13" i="28"/>
  <c r="N13" i="28"/>
  <c r="M13" i="28"/>
  <c r="L13" i="28"/>
  <c r="K13" i="28"/>
  <c r="P11" i="28"/>
  <c r="O11" i="28"/>
  <c r="N11" i="28"/>
  <c r="M11" i="28"/>
  <c r="L11" i="28"/>
  <c r="K11" i="28"/>
  <c r="P10" i="28"/>
  <c r="O10" i="28"/>
  <c r="N10" i="28"/>
  <c r="M10" i="28"/>
  <c r="L10" i="28"/>
  <c r="K10" i="28"/>
  <c r="Q8" i="28"/>
  <c r="R8" i="28" s="1"/>
  <c r="P7" i="28"/>
  <c r="O7" i="28"/>
  <c r="N7" i="28"/>
  <c r="M7" i="28"/>
  <c r="L7" i="28"/>
  <c r="K7" i="28"/>
  <c r="P6" i="28"/>
  <c r="O6" i="28"/>
  <c r="N6" i="28"/>
  <c r="M6" i="28"/>
  <c r="L6" i="28"/>
  <c r="K6" i="28"/>
  <c r="P5" i="28"/>
  <c r="O5" i="28"/>
  <c r="N5" i="28"/>
  <c r="M5" i="28"/>
  <c r="L5" i="28"/>
  <c r="K5" i="28"/>
  <c r="P4" i="28"/>
  <c r="O4" i="28"/>
  <c r="N4" i="28"/>
  <c r="M4" i="28"/>
  <c r="L4" i="28"/>
  <c r="K4" i="28"/>
  <c r="C12" i="24"/>
  <c r="O12" i="24" s="1"/>
  <c r="P11" i="24"/>
  <c r="O11" i="24"/>
  <c r="O10" i="24"/>
  <c r="O9" i="24"/>
  <c r="A119" i="15"/>
  <c r="A118" i="15"/>
  <c r="A117" i="15"/>
  <c r="A116" i="15"/>
  <c r="A115" i="15"/>
  <c r="A114" i="15"/>
  <c r="A113" i="15"/>
  <c r="A112" i="15"/>
  <c r="A111" i="15"/>
  <c r="A110" i="15"/>
  <c r="A109" i="15"/>
  <c r="A108" i="15"/>
  <c r="A107" i="15"/>
  <c r="A106" i="15"/>
  <c r="A105" i="15"/>
  <c r="A104" i="15"/>
  <c r="A103" i="15"/>
  <c r="A102" i="15"/>
  <c r="A101" i="15"/>
  <c r="A100" i="15"/>
  <c r="A99" i="15"/>
  <c r="A98" i="15"/>
  <c r="A97" i="15"/>
  <c r="A96" i="15"/>
  <c r="A95" i="15"/>
  <c r="A94" i="15"/>
  <c r="A93" i="15"/>
  <c r="A92" i="15"/>
  <c r="A91" i="15"/>
  <c r="A90" i="15"/>
  <c r="A89" i="15"/>
  <c r="A88" i="15"/>
  <c r="A87" i="15"/>
  <c r="A86" i="15"/>
  <c r="A85" i="15"/>
  <c r="A84" i="15"/>
  <c r="A83" i="15"/>
  <c r="A82" i="15"/>
  <c r="A81" i="15"/>
  <c r="H80" i="15"/>
  <c r="G80" i="15"/>
  <c r="C80" i="15"/>
  <c r="A80" i="15" s="1"/>
  <c r="J79" i="15"/>
  <c r="F79" i="15"/>
  <c r="A79" i="15"/>
  <c r="J78" i="15"/>
  <c r="F78" i="15"/>
  <c r="A78" i="15"/>
  <c r="J77" i="15"/>
  <c r="F77" i="15"/>
  <c r="A77" i="15"/>
  <c r="J76" i="15"/>
  <c r="F76" i="15"/>
  <c r="A76" i="15"/>
  <c r="J75" i="15"/>
  <c r="F75" i="15"/>
  <c r="A75" i="15"/>
  <c r="I74" i="15"/>
  <c r="E74" i="15"/>
  <c r="A74" i="15"/>
  <c r="I73" i="15"/>
  <c r="J73" i="15" s="1"/>
  <c r="E73" i="15"/>
  <c r="A73" i="15"/>
  <c r="I72" i="15"/>
  <c r="J72" i="15" s="1"/>
  <c r="E72" i="15"/>
  <c r="F72" i="15" s="1"/>
  <c r="A72" i="15"/>
  <c r="I71" i="15"/>
  <c r="J71" i="15" s="1"/>
  <c r="E71" i="15"/>
  <c r="A71" i="15"/>
  <c r="I70" i="15"/>
  <c r="J70" i="15" s="1"/>
  <c r="E70" i="15"/>
  <c r="F70" i="15" s="1"/>
  <c r="A70" i="15"/>
  <c r="I69" i="15"/>
  <c r="E69" i="15"/>
  <c r="F69" i="15" s="1"/>
  <c r="A69" i="15"/>
  <c r="I68" i="15"/>
  <c r="J68" i="15" s="1"/>
  <c r="E68" i="15"/>
  <c r="A68" i="15"/>
  <c r="G67" i="15"/>
  <c r="C67" i="15"/>
  <c r="A67" i="15" s="1"/>
  <c r="J66" i="15"/>
  <c r="F66" i="15"/>
  <c r="A66" i="15"/>
  <c r="J65" i="15"/>
  <c r="F65" i="15"/>
  <c r="A65" i="15"/>
  <c r="J64" i="15"/>
  <c r="F64" i="15"/>
  <c r="A64" i="15"/>
  <c r="J63" i="15"/>
  <c r="F63" i="15"/>
  <c r="A63" i="15"/>
  <c r="J62" i="15"/>
  <c r="F62" i="15"/>
  <c r="A62" i="15"/>
  <c r="J61" i="15"/>
  <c r="F61" i="15"/>
  <c r="A61" i="15"/>
  <c r="I60" i="15"/>
  <c r="J60" i="15" s="1"/>
  <c r="E60" i="15"/>
  <c r="A60" i="15"/>
  <c r="I59" i="15"/>
  <c r="J59" i="15" s="1"/>
  <c r="E59" i="15"/>
  <c r="A59" i="15"/>
  <c r="I58" i="15"/>
  <c r="J58" i="15" s="1"/>
  <c r="E58" i="15"/>
  <c r="F58" i="15" s="1"/>
  <c r="A58" i="15"/>
  <c r="I57" i="15"/>
  <c r="J57" i="15" s="1"/>
  <c r="E57" i="15"/>
  <c r="F57" i="15" s="1"/>
  <c r="A57" i="15"/>
  <c r="I56" i="15"/>
  <c r="J56" i="15" s="1"/>
  <c r="E56" i="15"/>
  <c r="A56" i="15"/>
  <c r="I55" i="15"/>
  <c r="E55" i="15"/>
  <c r="A55" i="15"/>
  <c r="G54" i="15"/>
  <c r="C54" i="15"/>
  <c r="A54" i="15"/>
  <c r="I53" i="15"/>
  <c r="E53" i="15"/>
  <c r="A53" i="15"/>
  <c r="I52" i="15"/>
  <c r="J52" i="15" s="1"/>
  <c r="E52" i="15"/>
  <c r="F52" i="15" s="1"/>
  <c r="A52" i="15"/>
  <c r="I51" i="15"/>
  <c r="E51" i="15"/>
  <c r="A51" i="15"/>
  <c r="I50" i="15"/>
  <c r="J50" i="15" s="1"/>
  <c r="E50" i="15"/>
  <c r="F50" i="15" s="1"/>
  <c r="A50" i="15"/>
  <c r="I49" i="15"/>
  <c r="E49" i="15"/>
  <c r="A49" i="15"/>
  <c r="I48" i="15"/>
  <c r="J48" i="15" s="1"/>
  <c r="E48" i="15"/>
  <c r="A48" i="15"/>
  <c r="I47" i="15"/>
  <c r="E47" i="15"/>
  <c r="F47" i="15" s="1"/>
  <c r="A47" i="15"/>
  <c r="I46" i="15"/>
  <c r="J46" i="15" s="1"/>
  <c r="E46" i="15"/>
  <c r="A46" i="15"/>
  <c r="I45" i="15"/>
  <c r="J45" i="15" s="1"/>
  <c r="E45" i="15"/>
  <c r="A45" i="15"/>
  <c r="I44" i="15"/>
  <c r="J44" i="15" s="1"/>
  <c r="E44" i="15"/>
  <c r="A44" i="15"/>
  <c r="I43" i="15"/>
  <c r="E43" i="15"/>
  <c r="F43" i="15" s="1"/>
  <c r="A43" i="15"/>
  <c r="I42" i="15"/>
  <c r="J42" i="15" s="1"/>
  <c r="E42" i="15"/>
  <c r="A42" i="15"/>
  <c r="G41" i="15"/>
  <c r="C41" i="15"/>
  <c r="I40" i="15"/>
  <c r="J40" i="15" s="1"/>
  <c r="E40" i="15"/>
  <c r="I39" i="15"/>
  <c r="J39" i="15" s="1"/>
  <c r="E39" i="15"/>
  <c r="I38" i="15"/>
  <c r="J38" i="15" s="1"/>
  <c r="E38" i="15"/>
  <c r="I37" i="15"/>
  <c r="J37" i="15" s="1"/>
  <c r="E37" i="15"/>
  <c r="F37" i="15" s="1"/>
  <c r="I36" i="15"/>
  <c r="J36" i="15" s="1"/>
  <c r="E36" i="15"/>
  <c r="I35" i="15"/>
  <c r="J35" i="15" s="1"/>
  <c r="E35" i="15"/>
  <c r="I34" i="15"/>
  <c r="J34" i="15" s="1"/>
  <c r="E34" i="15"/>
  <c r="I33" i="15"/>
  <c r="J33" i="15" s="1"/>
  <c r="E33" i="15"/>
  <c r="I32" i="15"/>
  <c r="J32" i="15" s="1"/>
  <c r="E32" i="15"/>
  <c r="AR31" i="15"/>
  <c r="AR32" i="15" s="1"/>
  <c r="AR33" i="15" s="1"/>
  <c r="AP31" i="15"/>
  <c r="I31" i="15"/>
  <c r="J31" i="15" s="1"/>
  <c r="E31" i="15"/>
  <c r="AT30" i="15"/>
  <c r="I30" i="15"/>
  <c r="J30" i="15" s="1"/>
  <c r="E30" i="15"/>
  <c r="I29" i="15"/>
  <c r="E29" i="15"/>
  <c r="F29" i="15" s="1"/>
  <c r="G28" i="15"/>
  <c r="C28" i="15"/>
  <c r="I27" i="15"/>
  <c r="J27" i="15" s="1"/>
  <c r="E27" i="15"/>
  <c r="I26" i="15"/>
  <c r="J26" i="15" s="1"/>
  <c r="E26" i="15"/>
  <c r="F26" i="15" s="1"/>
  <c r="I25" i="15"/>
  <c r="J25" i="15" s="1"/>
  <c r="E25" i="15"/>
  <c r="F25" i="15" s="1"/>
  <c r="I24" i="15"/>
  <c r="J24" i="15" s="1"/>
  <c r="E24" i="15"/>
  <c r="F24" i="15" s="1"/>
  <c r="I23" i="15"/>
  <c r="J23" i="15" s="1"/>
  <c r="E23" i="15"/>
  <c r="F23" i="15" s="1"/>
  <c r="I22" i="15"/>
  <c r="E22" i="15"/>
  <c r="F22" i="15" s="1"/>
  <c r="I21" i="15"/>
  <c r="J21" i="15" s="1"/>
  <c r="E21" i="15"/>
  <c r="F21" i="15" s="1"/>
  <c r="I20" i="15"/>
  <c r="J20" i="15" s="1"/>
  <c r="E20" i="15"/>
  <c r="F20" i="15" s="1"/>
  <c r="I19" i="15"/>
  <c r="J19" i="15" s="1"/>
  <c r="E19" i="15"/>
  <c r="F19" i="15" s="1"/>
  <c r="I18" i="15"/>
  <c r="J18" i="15" s="1"/>
  <c r="E18" i="15"/>
  <c r="F18" i="15" s="1"/>
  <c r="I17" i="15"/>
  <c r="J17" i="15" s="1"/>
  <c r="E17" i="15"/>
  <c r="F17" i="15" s="1"/>
  <c r="I16" i="15"/>
  <c r="J16" i="15" s="1"/>
  <c r="E16" i="15"/>
  <c r="F16" i="15" s="1"/>
  <c r="G15" i="15"/>
  <c r="C15" i="15"/>
  <c r="I14" i="15"/>
  <c r="J14" i="15" s="1"/>
  <c r="E14" i="15"/>
  <c r="F14" i="15" s="1"/>
  <c r="I13" i="15"/>
  <c r="J13" i="15" s="1"/>
  <c r="E13" i="15"/>
  <c r="F13" i="15" s="1"/>
  <c r="I12" i="15"/>
  <c r="J12" i="15" s="1"/>
  <c r="E12" i="15"/>
  <c r="I11" i="15"/>
  <c r="J11" i="15" s="1"/>
  <c r="E11" i="15"/>
  <c r="F11" i="15" s="1"/>
  <c r="I10" i="15"/>
  <c r="J10" i="15" s="1"/>
  <c r="E10" i="15"/>
  <c r="F10" i="15" s="1"/>
  <c r="I9" i="15"/>
  <c r="J9" i="15" s="1"/>
  <c r="E9" i="15"/>
  <c r="F9" i="15" s="1"/>
  <c r="I8" i="15"/>
  <c r="J8" i="15" s="1"/>
  <c r="E8" i="15"/>
  <c r="I7" i="15"/>
  <c r="J7" i="15" s="1"/>
  <c r="E7" i="15"/>
  <c r="F7" i="15" s="1"/>
  <c r="I6" i="15"/>
  <c r="J6" i="15" s="1"/>
  <c r="E6" i="15"/>
  <c r="F6" i="15" s="1"/>
  <c r="I5" i="15"/>
  <c r="J5" i="15" s="1"/>
  <c r="E5" i="15"/>
  <c r="F5" i="15" s="1"/>
  <c r="I4" i="15"/>
  <c r="J4" i="15" s="1"/>
  <c r="E4" i="15"/>
  <c r="I3" i="15"/>
  <c r="J3" i="15" s="1"/>
  <c r="E3" i="15"/>
  <c r="A101" i="26"/>
  <c r="A100" i="26"/>
  <c r="A99" i="26"/>
  <c r="A98" i="26"/>
  <c r="A97" i="26"/>
  <c r="A96" i="26"/>
  <c r="A95" i="26"/>
  <c r="A94" i="26"/>
  <c r="A93" i="26"/>
  <c r="A92" i="26"/>
  <c r="A91" i="26"/>
  <c r="A90" i="26"/>
  <c r="A89" i="26"/>
  <c r="A86" i="26"/>
  <c r="A85" i="26"/>
  <c r="A84" i="26"/>
  <c r="A83" i="26"/>
  <c r="A82" i="26"/>
  <c r="A81" i="26"/>
  <c r="A80" i="26"/>
  <c r="A79" i="26"/>
  <c r="A78" i="26"/>
  <c r="A77" i="26"/>
  <c r="A76" i="26"/>
  <c r="A75" i="26"/>
  <c r="A74" i="26"/>
  <c r="A72" i="26"/>
  <c r="A71" i="26"/>
  <c r="A70" i="26"/>
  <c r="A69" i="26"/>
  <c r="A68" i="26"/>
  <c r="A67" i="26"/>
  <c r="A66" i="26"/>
  <c r="A65" i="26"/>
  <c r="A64" i="26"/>
  <c r="A63" i="26"/>
  <c r="A62" i="26"/>
  <c r="A61" i="26"/>
  <c r="A60" i="26"/>
  <c r="A58" i="26"/>
  <c r="A57" i="26"/>
  <c r="A56" i="26"/>
  <c r="A55" i="26"/>
  <c r="A54" i="26"/>
  <c r="A53" i="26"/>
  <c r="A52" i="26"/>
  <c r="A51" i="26"/>
  <c r="A50" i="26"/>
  <c r="A49" i="26"/>
  <c r="A48" i="26"/>
  <c r="A47" i="26"/>
  <c r="A46" i="26"/>
  <c r="A44" i="26"/>
  <c r="A43" i="26"/>
  <c r="A42" i="26"/>
  <c r="A41" i="26"/>
  <c r="A40" i="26"/>
  <c r="A39" i="26"/>
  <c r="A38" i="26"/>
  <c r="A37" i="26"/>
  <c r="A36" i="26"/>
  <c r="A35" i="26"/>
  <c r="A34" i="26"/>
  <c r="A33" i="26"/>
  <c r="A32" i="26"/>
  <c r="A30" i="26"/>
  <c r="A29" i="26"/>
  <c r="A28" i="26"/>
  <c r="A27" i="26"/>
  <c r="A26" i="26"/>
  <c r="A25" i="26"/>
  <c r="A24" i="26"/>
  <c r="A23" i="26"/>
  <c r="A22" i="26"/>
  <c r="A21" i="26"/>
  <c r="A20" i="26"/>
  <c r="A19" i="26"/>
  <c r="A18" i="26"/>
  <c r="A118" i="29"/>
  <c r="A117" i="29"/>
  <c r="A116" i="29"/>
  <c r="A115" i="29"/>
  <c r="A114" i="29"/>
  <c r="A113" i="29"/>
  <c r="A112" i="29"/>
  <c r="A111" i="29"/>
  <c r="A110" i="29"/>
  <c r="A109" i="29"/>
  <c r="A108" i="29"/>
  <c r="R107" i="34"/>
  <c r="A107" i="29"/>
  <c r="Q106" i="34"/>
  <c r="P106" i="34"/>
  <c r="O106" i="34"/>
  <c r="N106" i="34"/>
  <c r="M106" i="34"/>
  <c r="L106" i="34"/>
  <c r="K106" i="34"/>
  <c r="J106" i="34"/>
  <c r="H106" i="34"/>
  <c r="G106" i="34"/>
  <c r="F106" i="34"/>
  <c r="E106" i="34"/>
  <c r="D106" i="34"/>
  <c r="C106" i="34"/>
  <c r="A106" i="34" s="1"/>
  <c r="A106" i="29"/>
  <c r="A105" i="29"/>
  <c r="R104" i="34"/>
  <c r="A104" i="29"/>
  <c r="A103" i="29"/>
  <c r="A102" i="29"/>
  <c r="A101" i="29"/>
  <c r="R100" i="34"/>
  <c r="A100" i="29"/>
  <c r="A99" i="29"/>
  <c r="A98" i="29"/>
  <c r="A97" i="29"/>
  <c r="R96" i="34"/>
  <c r="A96" i="29"/>
  <c r="A95" i="29"/>
  <c r="A94" i="29"/>
  <c r="Q93" i="34"/>
  <c r="P93" i="34"/>
  <c r="O93" i="34"/>
  <c r="N93" i="34"/>
  <c r="M93" i="34"/>
  <c r="L93" i="34"/>
  <c r="K93" i="34"/>
  <c r="H93" i="34"/>
  <c r="G93" i="34"/>
  <c r="F93" i="34"/>
  <c r="E93" i="34"/>
  <c r="D93" i="34"/>
  <c r="C93" i="34"/>
  <c r="A93" i="34" s="1"/>
  <c r="A93" i="29"/>
  <c r="R92" i="34"/>
  <c r="A92" i="29"/>
  <c r="R91" i="34"/>
  <c r="A91" i="29"/>
  <c r="R90" i="34"/>
  <c r="A90" i="29"/>
  <c r="R89" i="34"/>
  <c r="A89" i="29"/>
  <c r="R88" i="34"/>
  <c r="A88" i="29"/>
  <c r="R87" i="34"/>
  <c r="A87" i="29"/>
  <c r="I86" i="34"/>
  <c r="A86" i="29"/>
  <c r="A85" i="29"/>
  <c r="A84" i="29"/>
  <c r="A83" i="29"/>
  <c r="A82" i="29"/>
  <c r="A81" i="29"/>
  <c r="Q80" i="29"/>
  <c r="Q80" i="34" s="1"/>
  <c r="P80" i="29"/>
  <c r="P80" i="34" s="1"/>
  <c r="O80" i="29"/>
  <c r="O80" i="34" s="1"/>
  <c r="N80" i="29"/>
  <c r="N80" i="34" s="1"/>
  <c r="M80" i="29"/>
  <c r="M80" i="34" s="1"/>
  <c r="L80" i="29"/>
  <c r="L80" i="34" s="1"/>
  <c r="K80" i="29"/>
  <c r="K80" i="34" s="1"/>
  <c r="J80" i="29"/>
  <c r="J80" i="34" s="1"/>
  <c r="I80" i="29"/>
  <c r="I80" i="34" s="1"/>
  <c r="H80" i="29"/>
  <c r="H80" i="34" s="1"/>
  <c r="G80" i="29"/>
  <c r="G80" i="34" s="1"/>
  <c r="F80" i="29"/>
  <c r="F80" i="34" s="1"/>
  <c r="E80" i="29"/>
  <c r="D80" i="29"/>
  <c r="D80" i="34" s="1"/>
  <c r="C80" i="29"/>
  <c r="C80" i="34" s="1"/>
  <c r="A80" i="34" s="1"/>
  <c r="R79" i="29"/>
  <c r="R79" i="34" s="1"/>
  <c r="A79" i="29"/>
  <c r="R78" i="29"/>
  <c r="R78" i="34" s="1"/>
  <c r="S78" i="34" s="1"/>
  <c r="A78" i="29"/>
  <c r="R77" i="29"/>
  <c r="R77" i="34" s="1"/>
  <c r="A77" i="29"/>
  <c r="R76" i="29"/>
  <c r="R76" i="34" s="1"/>
  <c r="A76" i="29"/>
  <c r="R75" i="29"/>
  <c r="A75" i="29"/>
  <c r="R74" i="29"/>
  <c r="R74" i="34" s="1"/>
  <c r="S74" i="34" s="1"/>
  <c r="A74" i="29"/>
  <c r="R73" i="29"/>
  <c r="A73" i="29"/>
  <c r="R72" i="29"/>
  <c r="A72" i="29"/>
  <c r="R71" i="29"/>
  <c r="R71" i="34" s="1"/>
  <c r="A71" i="29"/>
  <c r="R70" i="29"/>
  <c r="R70" i="34" s="1"/>
  <c r="A70" i="29"/>
  <c r="R69" i="29"/>
  <c r="R69" i="34" s="1"/>
  <c r="A69" i="29"/>
  <c r="R68" i="29"/>
  <c r="A68" i="29"/>
  <c r="Q67" i="29"/>
  <c r="P67" i="29"/>
  <c r="O67" i="29"/>
  <c r="N67" i="29"/>
  <c r="M67" i="29"/>
  <c r="L67" i="29"/>
  <c r="K67" i="29"/>
  <c r="J67" i="29"/>
  <c r="I67" i="29"/>
  <c r="H67" i="29"/>
  <c r="G67" i="29"/>
  <c r="F67" i="29"/>
  <c r="E67" i="29"/>
  <c r="D67" i="29"/>
  <c r="C67" i="29"/>
  <c r="R66" i="29"/>
  <c r="A66" i="29"/>
  <c r="R65" i="29"/>
  <c r="A65" i="29"/>
  <c r="R64" i="29"/>
  <c r="A64" i="29"/>
  <c r="R63" i="29"/>
  <c r="A63" i="29"/>
  <c r="R62" i="29"/>
  <c r="A62" i="29"/>
  <c r="R61" i="29"/>
  <c r="A61" i="29"/>
  <c r="R60" i="29"/>
  <c r="A60" i="29"/>
  <c r="R59" i="29"/>
  <c r="A59" i="29"/>
  <c r="R58" i="29"/>
  <c r="A58" i="29"/>
  <c r="R57" i="29"/>
  <c r="A57" i="29"/>
  <c r="R56" i="29"/>
  <c r="A56" i="29"/>
  <c r="R55" i="29"/>
  <c r="A55" i="29"/>
  <c r="Q54" i="29"/>
  <c r="P54" i="29"/>
  <c r="O54" i="29"/>
  <c r="N54" i="29"/>
  <c r="M54" i="29"/>
  <c r="L54" i="29"/>
  <c r="K54" i="29"/>
  <c r="J54" i="29"/>
  <c r="I54" i="29"/>
  <c r="H54" i="29"/>
  <c r="G54" i="29"/>
  <c r="F54" i="29"/>
  <c r="E54" i="29"/>
  <c r="D54" i="29"/>
  <c r="C54" i="29"/>
  <c r="A54" i="29" s="1"/>
  <c r="R53" i="29"/>
  <c r="A53" i="29"/>
  <c r="R52" i="29"/>
  <c r="A52" i="29"/>
  <c r="R51" i="29"/>
  <c r="A51" i="29"/>
  <c r="R50" i="29"/>
  <c r="A50" i="29"/>
  <c r="R49" i="29"/>
  <c r="A49" i="29"/>
  <c r="R48" i="29"/>
  <c r="A48" i="29"/>
  <c r="R47" i="29"/>
  <c r="A47" i="29"/>
  <c r="R46" i="29"/>
  <c r="A46" i="29"/>
  <c r="R45" i="29"/>
  <c r="A45" i="29"/>
  <c r="R44" i="29"/>
  <c r="A44" i="29"/>
  <c r="R43" i="29"/>
  <c r="A43" i="29"/>
  <c r="R42" i="29"/>
  <c r="A42" i="29"/>
  <c r="Q41" i="29"/>
  <c r="P41" i="29"/>
  <c r="O41" i="29"/>
  <c r="N41" i="29"/>
  <c r="M41" i="29"/>
  <c r="L41" i="29"/>
  <c r="K41" i="29"/>
  <c r="J41" i="29"/>
  <c r="I41" i="29"/>
  <c r="H41" i="29"/>
  <c r="G41" i="29"/>
  <c r="F41" i="29"/>
  <c r="E41" i="29"/>
  <c r="D41" i="29"/>
  <c r="C41" i="29"/>
  <c r="R40" i="29"/>
  <c r="R39" i="29"/>
  <c r="R38" i="29"/>
  <c r="R37" i="29"/>
  <c r="R36" i="29"/>
  <c r="R35" i="29"/>
  <c r="R34" i="29"/>
  <c r="R33" i="29"/>
  <c r="R32" i="29"/>
  <c r="R31" i="29"/>
  <c r="R30" i="29"/>
  <c r="R29" i="29"/>
  <c r="P28" i="29"/>
  <c r="M28" i="29"/>
  <c r="J28" i="29"/>
  <c r="H28" i="29"/>
  <c r="G28" i="29"/>
  <c r="E28" i="29"/>
  <c r="D28" i="29"/>
  <c r="C28" i="29"/>
  <c r="R27" i="29"/>
  <c r="R26" i="29"/>
  <c r="R25" i="29"/>
  <c r="R24" i="29"/>
  <c r="R23" i="29"/>
  <c r="R22" i="29"/>
  <c r="R21" i="29"/>
  <c r="R20" i="29"/>
  <c r="R19" i="29"/>
  <c r="Q18" i="29"/>
  <c r="N18" i="29"/>
  <c r="K18" i="29"/>
  <c r="R18" i="29" s="1"/>
  <c r="Q17" i="29"/>
  <c r="N17" i="29"/>
  <c r="N28" i="29" s="1"/>
  <c r="K17" i="29"/>
  <c r="R16" i="29"/>
  <c r="Q15" i="29"/>
  <c r="P15" i="29"/>
  <c r="N15" i="29"/>
  <c r="M15" i="29"/>
  <c r="K15" i="29"/>
  <c r="J15" i="29"/>
  <c r="H15" i="29"/>
  <c r="G15" i="29"/>
  <c r="E15" i="29"/>
  <c r="D15" i="29"/>
  <c r="C15" i="29"/>
  <c r="R14" i="29"/>
  <c r="R13" i="29"/>
  <c r="R12" i="29"/>
  <c r="R11" i="29"/>
  <c r="R10" i="29"/>
  <c r="R9" i="29"/>
  <c r="R8" i="29"/>
  <c r="R7" i="29"/>
  <c r="R6" i="29"/>
  <c r="R5" i="29"/>
  <c r="R4" i="29"/>
  <c r="R3" i="29"/>
  <c r="AB1" i="29"/>
  <c r="AC71" i="34" l="1"/>
  <c r="AG71" i="34"/>
  <c r="AE74" i="34"/>
  <c r="Y79" i="34"/>
  <c r="AC79" i="34"/>
  <c r="AG79" i="34"/>
  <c r="Y70" i="34"/>
  <c r="AC70" i="34"/>
  <c r="AG70" i="34"/>
  <c r="Z70" i="34"/>
  <c r="AD70" i="34"/>
  <c r="AH70" i="34"/>
  <c r="AJ73" i="34"/>
  <c r="X74" i="34"/>
  <c r="AB74" i="34"/>
  <c r="AF74" i="34"/>
  <c r="AJ74" i="34"/>
  <c r="Y76" i="34"/>
  <c r="X77" i="34"/>
  <c r="Y77" i="34"/>
  <c r="AG77" i="34"/>
  <c r="Z78" i="34"/>
  <c r="AD78" i="34"/>
  <c r="AH78" i="34"/>
  <c r="AD79" i="34"/>
  <c r="AA81" i="34"/>
  <c r="AI81" i="34"/>
  <c r="V105" i="34"/>
  <c r="D120" i="34"/>
  <c r="H120" i="34"/>
  <c r="L120" i="34"/>
  <c r="P120" i="34"/>
  <c r="W79" i="34"/>
  <c r="AA79" i="34"/>
  <c r="AE79" i="34"/>
  <c r="AI79" i="34"/>
  <c r="X82" i="34"/>
  <c r="AB82" i="34"/>
  <c r="AF82" i="34"/>
  <c r="AJ82" i="34"/>
  <c r="A80" i="29"/>
  <c r="X70" i="34"/>
  <c r="AB70" i="34"/>
  <c r="AF70" i="34"/>
  <c r="AJ70" i="34"/>
  <c r="AC72" i="34"/>
  <c r="Z74" i="34"/>
  <c r="W75" i="34"/>
  <c r="AE75" i="34"/>
  <c r="AI75" i="34"/>
  <c r="V76" i="34"/>
  <c r="AH77" i="34"/>
  <c r="W77" i="34"/>
  <c r="AA78" i="34"/>
  <c r="AE78" i="34"/>
  <c r="AI77" i="34"/>
  <c r="X78" i="34"/>
  <c r="AB78" i="34"/>
  <c r="AF78" i="34"/>
  <c r="X81" i="34"/>
  <c r="AF81" i="34"/>
  <c r="R15" i="29"/>
  <c r="X71" i="34"/>
  <c r="AG72" i="34"/>
  <c r="Y73" i="34"/>
  <c r="AA74" i="34"/>
  <c r="Z76" i="34"/>
  <c r="AI78" i="34"/>
  <c r="AF79" i="34"/>
  <c r="W81" i="34"/>
  <c r="R41" i="29"/>
  <c r="R54" i="29"/>
  <c r="V71" i="34"/>
  <c r="V72" i="34"/>
  <c r="Z73" i="34"/>
  <c r="AH73" i="34"/>
  <c r="W74" i="34"/>
  <c r="AA77" i="34"/>
  <c r="AE76" i="34"/>
  <c r="AI76" i="34"/>
  <c r="AK78" i="34"/>
  <c r="AB79" i="34"/>
  <c r="AA82" i="34"/>
  <c r="AI82" i="34"/>
  <c r="V100" i="34"/>
  <c r="E120" i="34"/>
  <c r="I120" i="34"/>
  <c r="E122" i="34" a="1"/>
  <c r="E122" i="34" s="1"/>
  <c r="E123" i="34" s="1" a="1"/>
  <c r="E123" i="34" s="1"/>
  <c r="X75" i="34"/>
  <c r="AB75" i="34"/>
  <c r="AF75" i="34"/>
  <c r="AJ75" i="34"/>
  <c r="X79" i="34"/>
  <c r="AA70" i="34"/>
  <c r="AI70" i="34"/>
  <c r="AB71" i="34"/>
  <c r="AF71" i="34"/>
  <c r="AJ71" i="34"/>
  <c r="W73" i="34"/>
  <c r="AA72" i="34"/>
  <c r="AE72" i="34"/>
  <c r="X73" i="34"/>
  <c r="AH76" i="34"/>
  <c r="AB77" i="34"/>
  <c r="AF77" i="34"/>
  <c r="Y78" i="34"/>
  <c r="AB81" i="34"/>
  <c r="V98" i="34"/>
  <c r="F120" i="34"/>
  <c r="J120" i="34"/>
  <c r="N120" i="34"/>
  <c r="K120" i="34"/>
  <c r="O120" i="34"/>
  <c r="V94" i="34"/>
  <c r="V95" i="34"/>
  <c r="V96" i="34"/>
  <c r="V102" i="34"/>
  <c r="V103" i="34"/>
  <c r="V104" i="34"/>
  <c r="W104" i="34" s="1"/>
  <c r="V101" i="34"/>
  <c r="M120" i="34"/>
  <c r="Q120" i="34"/>
  <c r="R72" i="34"/>
  <c r="R75" i="34"/>
  <c r="AK76" i="34" s="1"/>
  <c r="R98" i="34"/>
  <c r="R106" i="34"/>
  <c r="T107" i="34" s="1"/>
  <c r="R68" i="34"/>
  <c r="AK69" i="34" s="1"/>
  <c r="E80" i="34"/>
  <c r="R80" i="29"/>
  <c r="J86" i="34"/>
  <c r="R99" i="34"/>
  <c r="T100" i="34" s="1"/>
  <c r="R108" i="34"/>
  <c r="E112" i="28"/>
  <c r="K28" i="29"/>
  <c r="R17" i="29"/>
  <c r="R81" i="34"/>
  <c r="R103" i="34"/>
  <c r="R67" i="29"/>
  <c r="A67" i="29"/>
  <c r="R82" i="34"/>
  <c r="J93" i="34"/>
  <c r="AN41" i="34"/>
  <c r="S41" i="34"/>
  <c r="AD19" i="34"/>
  <c r="R18" i="34"/>
  <c r="R149" i="34"/>
  <c r="V149" i="34" s="1"/>
  <c r="AK32" i="34"/>
  <c r="AL32" i="34" s="1"/>
  <c r="S32" i="34"/>
  <c r="AJ32" i="34"/>
  <c r="AJ41" i="34" s="1"/>
  <c r="R150" i="34"/>
  <c r="V150" i="34" s="1"/>
  <c r="AN33" i="34"/>
  <c r="AK33" i="34"/>
  <c r="AL33" i="34" s="1"/>
  <c r="S33" i="34"/>
  <c r="R157" i="34"/>
  <c r="V157" i="34" s="1"/>
  <c r="AK40" i="34"/>
  <c r="AL40" i="34" s="1"/>
  <c r="S40" i="34"/>
  <c r="AJ40" i="34"/>
  <c r="AN58" i="34"/>
  <c r="AK58" i="34"/>
  <c r="AL58" i="34" s="1"/>
  <c r="S58" i="34"/>
  <c r="R101" i="34"/>
  <c r="R105" i="34"/>
  <c r="Q98" i="28"/>
  <c r="Q108" i="28"/>
  <c r="R54" i="34"/>
  <c r="A54" i="34"/>
  <c r="AK84" i="34"/>
  <c r="S84" i="34"/>
  <c r="G124" i="34" a="1"/>
  <c r="G124" i="34" s="1"/>
  <c r="G125" i="34" s="1" a="1"/>
  <c r="G125" i="34" s="1"/>
  <c r="K122" i="34" a="1"/>
  <c r="K122" i="34" s="1"/>
  <c r="K123" i="34" s="1" a="1"/>
  <c r="K123" i="34" s="1"/>
  <c r="O124" i="34" a="1"/>
  <c r="O124" i="34" s="1"/>
  <c r="O125" i="34" s="1" a="1"/>
  <c r="O125" i="34" s="1"/>
  <c r="P124" i="34" a="1"/>
  <c r="P124" i="34" s="1"/>
  <c r="P125" i="34" s="1" a="1"/>
  <c r="P125" i="34" s="1"/>
  <c r="Q28" i="29"/>
  <c r="R28" i="29" s="1"/>
  <c r="AK70" i="34"/>
  <c r="S70" i="34"/>
  <c r="R95" i="34"/>
  <c r="T96" i="34" s="1"/>
  <c r="R73" i="34"/>
  <c r="S79" i="34"/>
  <c r="AK79" i="34"/>
  <c r="I93" i="34"/>
  <c r="R97" i="34"/>
  <c r="AP32" i="15"/>
  <c r="AT31" i="15"/>
  <c r="AD18" i="34"/>
  <c r="AN20" i="34"/>
  <c r="AJ21" i="34"/>
  <c r="AN32" i="34"/>
  <c r="AJ33" i="34"/>
  <c r="AN40" i="34"/>
  <c r="AJ58" i="34"/>
  <c r="AA71" i="34"/>
  <c r="AI71" i="34"/>
  <c r="V73" i="34"/>
  <c r="A73" i="34"/>
  <c r="AD73" i="34"/>
  <c r="AD74" i="34"/>
  <c r="R146" i="34"/>
  <c r="V146" i="34" s="1"/>
  <c r="AN29" i="34"/>
  <c r="AK29" i="34"/>
  <c r="AL29" i="34" s="1"/>
  <c r="S29" i="34"/>
  <c r="R153" i="34"/>
  <c r="V153" i="34" s="1"/>
  <c r="AK36" i="34"/>
  <c r="AL36" i="34" s="1"/>
  <c r="S36" i="34"/>
  <c r="AJ36" i="34"/>
  <c r="R154" i="34"/>
  <c r="V154" i="34" s="1"/>
  <c r="AN37" i="34"/>
  <c r="AK37" i="34"/>
  <c r="AL37" i="34" s="1"/>
  <c r="S37" i="34"/>
  <c r="AN57" i="34"/>
  <c r="AK57" i="34"/>
  <c r="AL57" i="34" s="1"/>
  <c r="S57" i="34"/>
  <c r="AJ57" i="34"/>
  <c r="W70" i="34"/>
  <c r="W71" i="34"/>
  <c r="AE71" i="34"/>
  <c r="AE70" i="34"/>
  <c r="S71" i="34"/>
  <c r="AK71" i="34"/>
  <c r="E92" i="28"/>
  <c r="Q90" i="28"/>
  <c r="Q92" i="28" s="1"/>
  <c r="S69" i="34"/>
  <c r="R83" i="34"/>
  <c r="R94" i="34"/>
  <c r="S107" i="34"/>
  <c r="AG17" i="34"/>
  <c r="N28" i="34"/>
  <c r="AG18" i="34"/>
  <c r="AN45" i="34"/>
  <c r="AK45" i="34"/>
  <c r="AL45" i="34" s="1"/>
  <c r="S45" i="34"/>
  <c r="AJ45" i="34"/>
  <c r="AN46" i="34"/>
  <c r="AK46" i="34"/>
  <c r="AL46" i="34" s="1"/>
  <c r="S46" i="34"/>
  <c r="AN53" i="34"/>
  <c r="AK53" i="34"/>
  <c r="AL53" i="34" s="1"/>
  <c r="S53" i="34"/>
  <c r="AJ53" i="34"/>
  <c r="AK60" i="34"/>
  <c r="AL60" i="34" s="1"/>
  <c r="S60" i="34"/>
  <c r="AN60" i="34"/>
  <c r="AJ61" i="34"/>
  <c r="AK85" i="34"/>
  <c r="T85" i="34"/>
  <c r="S85" i="34"/>
  <c r="S76" i="34"/>
  <c r="AK77" i="34"/>
  <c r="S77" i="34"/>
  <c r="S87" i="34"/>
  <c r="S88" i="34"/>
  <c r="T88" i="34"/>
  <c r="S89" i="34"/>
  <c r="T89" i="34"/>
  <c r="T90" i="34"/>
  <c r="S90" i="34"/>
  <c r="T91" i="34"/>
  <c r="S91" i="34"/>
  <c r="S92" i="34"/>
  <c r="T92" i="34"/>
  <c r="S96" i="34"/>
  <c r="S100" i="34"/>
  <c r="S104" i="34"/>
  <c r="E103" i="28"/>
  <c r="Q101" i="28"/>
  <c r="Q103" i="28" s="1"/>
  <c r="M109" i="28"/>
  <c r="M112" i="28" s="1"/>
  <c r="M114" i="28" s="1"/>
  <c r="AN7" i="34"/>
  <c r="R160" i="34"/>
  <c r="AJ14" i="34"/>
  <c r="AJ16" i="34"/>
  <c r="R166" i="34"/>
  <c r="R168" i="34" s="1"/>
  <c r="AN27" i="34"/>
  <c r="AJ27" i="34"/>
  <c r="R28" i="34"/>
  <c r="AN28" i="34" s="1"/>
  <c r="AJ42" i="34"/>
  <c r="AJ50" i="34"/>
  <c r="AJ64" i="34"/>
  <c r="S63" i="34"/>
  <c r="AJ63" i="34"/>
  <c r="AN63" i="34"/>
  <c r="A76" i="34"/>
  <c r="V77" i="34"/>
  <c r="AD76" i="34"/>
  <c r="AD77" i="34"/>
  <c r="Q110" i="28"/>
  <c r="AI18" i="34"/>
  <c r="AI17" i="34"/>
  <c r="Q28" i="34"/>
  <c r="AN19" i="34"/>
  <c r="AN23" i="34"/>
  <c r="AJ23" i="34"/>
  <c r="AJ24" i="34"/>
  <c r="AN24" i="34"/>
  <c r="AJ25" i="34"/>
  <c r="AN49" i="34"/>
  <c r="AK49" i="34"/>
  <c r="AL49" i="34" s="1"/>
  <c r="S49" i="34"/>
  <c r="S65" i="34"/>
  <c r="AJ65" i="34"/>
  <c r="C120" i="34"/>
  <c r="G120" i="34"/>
  <c r="G109" i="28"/>
  <c r="G112" i="28" s="1"/>
  <c r="G114" i="28" s="1"/>
  <c r="K109" i="28"/>
  <c r="K112" i="28" s="1"/>
  <c r="K114" i="28" s="1"/>
  <c r="O109" i="28"/>
  <c r="O112" i="28" s="1"/>
  <c r="O114" i="28" s="1"/>
  <c r="R17" i="34"/>
  <c r="AJ22" i="34"/>
  <c r="AN22" i="34"/>
  <c r="AJ26" i="34"/>
  <c r="AN26" i="34"/>
  <c r="K28" i="34"/>
  <c r="AJ30" i="34"/>
  <c r="AJ34" i="34"/>
  <c r="AJ38" i="34"/>
  <c r="AJ43" i="34"/>
  <c r="S44" i="34"/>
  <c r="AK44" i="34"/>
  <c r="AL44" i="34" s="1"/>
  <c r="AJ47" i="34"/>
  <c r="S48" i="34"/>
  <c r="AK48" i="34"/>
  <c r="AL48" i="34" s="1"/>
  <c r="AJ51" i="34"/>
  <c r="S52" i="34"/>
  <c r="AK52" i="34"/>
  <c r="AL52" i="34" s="1"/>
  <c r="AJ55" i="34"/>
  <c r="S56" i="34"/>
  <c r="AK56" i="34"/>
  <c r="AL56" i="34" s="1"/>
  <c r="AK59" i="34"/>
  <c r="AL59" i="34" s="1"/>
  <c r="AN59" i="34"/>
  <c r="AJ59" i="34"/>
  <c r="AK62" i="34"/>
  <c r="AL62" i="34" s="1"/>
  <c r="S62" i="34"/>
  <c r="AN62" i="34"/>
  <c r="V70" i="34"/>
  <c r="Y72" i="34"/>
  <c r="Y71" i="34"/>
  <c r="AI72" i="34"/>
  <c r="AI73" i="34"/>
  <c r="AC74" i="34"/>
  <c r="AC73" i="34"/>
  <c r="AG74" i="34"/>
  <c r="AG73" i="34"/>
  <c r="AE73" i="34"/>
  <c r="AH74" i="34"/>
  <c r="AC77" i="34"/>
  <c r="AC78" i="34"/>
  <c r="AE77" i="34"/>
  <c r="P122" i="34" a="1"/>
  <c r="P122" i="34" s="1"/>
  <c r="P123" i="34" s="1" a="1"/>
  <c r="P123" i="34" s="1"/>
  <c r="N122" i="34" a="1"/>
  <c r="N122" i="34" s="1"/>
  <c r="L122" i="34" a="1"/>
  <c r="L122" i="34" s="1"/>
  <c r="L123" i="34" s="1" a="1"/>
  <c r="L123" i="34" s="1"/>
  <c r="J122" i="34" a="1"/>
  <c r="J122" i="34" s="1"/>
  <c r="J123" i="34" s="1" a="1"/>
  <c r="J123" i="34" s="1"/>
  <c r="H122" i="34" a="1"/>
  <c r="H122" i="34" s="1"/>
  <c r="H123" i="34" s="1" a="1"/>
  <c r="H123" i="34" s="1"/>
  <c r="F122" i="34" a="1"/>
  <c r="F122" i="34" s="1"/>
  <c r="F123" i="34" s="1" a="1"/>
  <c r="F123" i="34" s="1"/>
  <c r="D122" i="34" a="1"/>
  <c r="D122" i="34" s="1"/>
  <c r="D123" i="34" s="1" a="1"/>
  <c r="D123" i="34" s="1"/>
  <c r="Q124" i="34" a="1"/>
  <c r="Q124" i="34" s="1"/>
  <c r="Q125" i="34" s="1" a="1"/>
  <c r="Q125" i="34" s="1"/>
  <c r="L124" i="34" a="1"/>
  <c r="L124" i="34" s="1"/>
  <c r="L125" i="34" s="1" a="1"/>
  <c r="L125" i="34" s="1"/>
  <c r="I124" i="34" a="1"/>
  <c r="I124" i="34" s="1"/>
  <c r="I125" i="34" s="1" a="1"/>
  <c r="I125" i="34" s="1"/>
  <c r="D124" i="34" a="1"/>
  <c r="D124" i="34" s="1"/>
  <c r="D125" i="34" s="1" a="1"/>
  <c r="D125" i="34" s="1"/>
  <c r="O122" i="34" a="1"/>
  <c r="O122" i="34" s="1"/>
  <c r="O123" i="34" s="1" a="1"/>
  <c r="O123" i="34" s="1"/>
  <c r="G122" i="34" a="1"/>
  <c r="G122" i="34" s="1"/>
  <c r="G123" i="34" s="1" a="1"/>
  <c r="G123" i="34" s="1"/>
  <c r="N124" i="34" a="1"/>
  <c r="N124" i="34" s="1"/>
  <c r="N125" i="34" s="1" a="1"/>
  <c r="N125" i="34" s="1"/>
  <c r="K124" i="34" a="1"/>
  <c r="K124" i="34" s="1"/>
  <c r="K125" i="34" s="1" a="1"/>
  <c r="K125" i="34" s="1"/>
  <c r="F124" i="34" a="1"/>
  <c r="F124" i="34" s="1"/>
  <c r="F125" i="34" s="1" a="1"/>
  <c r="F125" i="34" s="1"/>
  <c r="C124" i="34" a="1"/>
  <c r="C124" i="34" s="1"/>
  <c r="C125" i="34" s="1" a="1"/>
  <c r="C125" i="34" s="1"/>
  <c r="N123" i="34" a="1"/>
  <c r="N123" i="34" s="1"/>
  <c r="Q122" i="34" a="1"/>
  <c r="Q122" i="34" s="1"/>
  <c r="Q123" i="34" s="1" a="1"/>
  <c r="Q123" i="34" s="1"/>
  <c r="I122" i="34" a="1"/>
  <c r="I122" i="34" s="1"/>
  <c r="I123" i="34" s="1" a="1"/>
  <c r="I123" i="34" s="1"/>
  <c r="M124" i="34" a="1"/>
  <c r="M124" i="34" s="1"/>
  <c r="M125" i="34" s="1" a="1"/>
  <c r="M125" i="34" s="1"/>
  <c r="H124" i="34" a="1"/>
  <c r="H124" i="34" s="1"/>
  <c r="H125" i="34" s="1" a="1"/>
  <c r="H125" i="34" s="1"/>
  <c r="C122" i="34" a="1"/>
  <c r="C122" i="34" s="1"/>
  <c r="C123" i="34" s="1" a="1"/>
  <c r="C123" i="34" s="1"/>
  <c r="E124" i="34" a="1"/>
  <c r="E124" i="34" s="1"/>
  <c r="E125" i="34" s="1" a="1"/>
  <c r="E125" i="34" s="1"/>
  <c r="M122" i="34" a="1"/>
  <c r="M122" i="34" s="1"/>
  <c r="M123" i="34" s="1" a="1"/>
  <c r="M123" i="34" s="1"/>
  <c r="J124" i="34" a="1"/>
  <c r="J124" i="34" s="1"/>
  <c r="J125" i="34" s="1" a="1"/>
  <c r="J125" i="34" s="1"/>
  <c r="Q87" i="28"/>
  <c r="AN8" i="34"/>
  <c r="AK16" i="34"/>
  <c r="AL16" i="34" s="1"/>
  <c r="AK21" i="34"/>
  <c r="AL21" i="34" s="1"/>
  <c r="AK25" i="34"/>
  <c r="AL25" i="34" s="1"/>
  <c r="AJ44" i="34"/>
  <c r="AJ48" i="34"/>
  <c r="AJ52" i="34"/>
  <c r="AJ56" i="34"/>
  <c r="AK61" i="34"/>
  <c r="AL61" i="34" s="1"/>
  <c r="S61" i="34"/>
  <c r="AN61" i="34"/>
  <c r="AJ62" i="34"/>
  <c r="R67" i="34"/>
  <c r="A67" i="34"/>
  <c r="AA76" i="34"/>
  <c r="V78" i="34"/>
  <c r="A78" i="34"/>
  <c r="V79" i="34"/>
  <c r="Z79" i="34"/>
  <c r="AH79" i="34"/>
  <c r="AJ31" i="34"/>
  <c r="AJ35" i="34"/>
  <c r="AJ39" i="34"/>
  <c r="V75" i="34"/>
  <c r="Z75" i="34"/>
  <c r="AD75" i="34"/>
  <c r="AH75" i="34"/>
  <c r="AJ78" i="34"/>
  <c r="V81" i="34"/>
  <c r="Z81" i="34"/>
  <c r="AD81" i="34"/>
  <c r="AH81" i="34"/>
  <c r="AE81" i="34"/>
  <c r="R102" i="34"/>
  <c r="Z71" i="34"/>
  <c r="AD71" i="34"/>
  <c r="AH71" i="34"/>
  <c r="X72" i="34"/>
  <c r="AB72" i="34"/>
  <c r="AF72" i="34"/>
  <c r="AJ72" i="34"/>
  <c r="AB73" i="34"/>
  <c r="V74" i="34"/>
  <c r="Y75" i="34"/>
  <c r="X76" i="34"/>
  <c r="AB76" i="34"/>
  <c r="AF76" i="34"/>
  <c r="AJ76" i="34"/>
  <c r="Y81" i="34"/>
  <c r="AC81" i="34"/>
  <c r="AG81" i="34"/>
  <c r="Y82" i="34"/>
  <c r="AC82" i="34"/>
  <c r="AG82" i="34"/>
  <c r="V82" i="34"/>
  <c r="Z82" i="34"/>
  <c r="AD82" i="34"/>
  <c r="AH82" i="34"/>
  <c r="M169" i="34"/>
  <c r="A102" i="34"/>
  <c r="M163" i="34"/>
  <c r="M167" i="34"/>
  <c r="M171" i="34"/>
  <c r="M170" i="34"/>
  <c r="Y145" i="34"/>
  <c r="Y150" i="34"/>
  <c r="S121" i="34"/>
  <c r="AE144" i="34"/>
  <c r="U36" i="37"/>
  <c r="M20" i="28"/>
  <c r="M23" i="28" s="1"/>
  <c r="O20" i="28"/>
  <c r="O23" i="28" s="1"/>
  <c r="O31" i="28"/>
  <c r="O34" i="28" s="1"/>
  <c r="G51" i="28"/>
  <c r="K51" i="28"/>
  <c r="O51" i="28"/>
  <c r="G73" i="28"/>
  <c r="K73" i="28"/>
  <c r="O73" i="28"/>
  <c r="F36" i="15"/>
  <c r="L9" i="28"/>
  <c r="L12" i="28" s="1"/>
  <c r="P9" i="28"/>
  <c r="P12" i="28" s="1"/>
  <c r="N20" i="28"/>
  <c r="O18" i="37"/>
  <c r="O30" i="37" s="1"/>
  <c r="S34" i="37"/>
  <c r="U37" i="37"/>
  <c r="F56" i="15"/>
  <c r="N31" i="28"/>
  <c r="N34" i="28" s="1"/>
  <c r="H62" i="28"/>
  <c r="L62" i="28"/>
  <c r="F73" i="28"/>
  <c r="J73" i="28"/>
  <c r="N73" i="28"/>
  <c r="F33" i="15"/>
  <c r="D18" i="37"/>
  <c r="D30" i="37" s="1"/>
  <c r="I67" i="15"/>
  <c r="N9" i="28"/>
  <c r="N12" i="28" s="1"/>
  <c r="M31" i="28"/>
  <c r="M34" i="28" s="1"/>
  <c r="Q33" i="28"/>
  <c r="R33" i="28" s="1"/>
  <c r="M51" i="28"/>
  <c r="Q46" i="28"/>
  <c r="R46" i="28" s="1"/>
  <c r="K62" i="28"/>
  <c r="N23" i="28"/>
  <c r="Q71" i="28"/>
  <c r="R71" i="28" s="1"/>
  <c r="Q72" i="28"/>
  <c r="R72" i="28" s="1"/>
  <c r="Q74" i="28"/>
  <c r="R74" i="28" s="1"/>
  <c r="U35" i="37"/>
  <c r="R47" i="37"/>
  <c r="J58" i="37"/>
  <c r="R51" i="37"/>
  <c r="M9" i="28"/>
  <c r="M12" i="28" s="1"/>
  <c r="Q7" i="28"/>
  <c r="R7" i="28" s="1"/>
  <c r="K20" i="28"/>
  <c r="K23" i="28" s="1"/>
  <c r="H51" i="28"/>
  <c r="L51" i="28"/>
  <c r="P51" i="28"/>
  <c r="F62" i="28"/>
  <c r="J62" i="28"/>
  <c r="N62" i="28"/>
  <c r="H73" i="28"/>
  <c r="L73" i="28"/>
  <c r="P73" i="28"/>
  <c r="I15" i="15"/>
  <c r="J15" i="15" s="1"/>
  <c r="E41" i="15"/>
  <c r="F38" i="15"/>
  <c r="F39" i="15"/>
  <c r="F40" i="15"/>
  <c r="J47" i="15"/>
  <c r="E67" i="15"/>
  <c r="Q10" i="28"/>
  <c r="R10" i="28" s="1"/>
  <c r="Q13" i="28"/>
  <c r="R13" i="28" s="1"/>
  <c r="Q17" i="28"/>
  <c r="R17" i="28" s="1"/>
  <c r="Q22" i="28"/>
  <c r="R22" i="28" s="1"/>
  <c r="Q27" i="28"/>
  <c r="R27" i="28" s="1"/>
  <c r="Q29" i="28"/>
  <c r="R29" i="28" s="1"/>
  <c r="Q50" i="28"/>
  <c r="R50" i="28" s="1"/>
  <c r="Q52" i="28"/>
  <c r="R52" i="28" s="1"/>
  <c r="Q55" i="28"/>
  <c r="R55" i="28" s="1"/>
  <c r="Q56" i="28"/>
  <c r="R56" i="28" s="1"/>
  <c r="Q57" i="28"/>
  <c r="R57" i="28" s="1"/>
  <c r="L18" i="37"/>
  <c r="L4" i="37" s="1"/>
  <c r="L16" i="37" s="1"/>
  <c r="E72" i="37"/>
  <c r="S60" i="37"/>
  <c r="T60" i="37" s="1"/>
  <c r="N101" i="37"/>
  <c r="E48" i="28"/>
  <c r="E51" i="28" s="1"/>
  <c r="J22" i="15"/>
  <c r="F30" i="15"/>
  <c r="E54" i="15"/>
  <c r="J43" i="15"/>
  <c r="F45" i="15"/>
  <c r="J55" i="15"/>
  <c r="J67" i="15" s="1"/>
  <c r="F71" i="15"/>
  <c r="F73" i="15"/>
  <c r="Q11" i="28"/>
  <c r="R11" i="28" s="1"/>
  <c r="Q16" i="28"/>
  <c r="R16" i="28" s="1"/>
  <c r="Q18" i="28"/>
  <c r="R18" i="28" s="1"/>
  <c r="Q21" i="28"/>
  <c r="R21" i="28" s="1"/>
  <c r="Q24" i="28"/>
  <c r="R24" i="28" s="1"/>
  <c r="Q28" i="28"/>
  <c r="R28" i="28" s="1"/>
  <c r="F51" i="28"/>
  <c r="J51" i="28"/>
  <c r="N51" i="28"/>
  <c r="G59" i="28"/>
  <c r="G62" i="28" s="1"/>
  <c r="O59" i="28"/>
  <c r="O62" i="28" s="1"/>
  <c r="U32" i="37"/>
  <c r="I48" i="28"/>
  <c r="I51" i="28" s="1"/>
  <c r="E15" i="15"/>
  <c r="F15" i="15" s="1"/>
  <c r="F32" i="15"/>
  <c r="F44" i="15"/>
  <c r="F48" i="15"/>
  <c r="J49" i="15"/>
  <c r="J51" i="15"/>
  <c r="J53" i="15"/>
  <c r="F59" i="15"/>
  <c r="E80" i="15"/>
  <c r="J69" i="15"/>
  <c r="Q4" i="28"/>
  <c r="R4" i="28" s="1"/>
  <c r="Q6" i="28"/>
  <c r="R6" i="28" s="1"/>
  <c r="L20" i="28"/>
  <c r="L23" i="28" s="1"/>
  <c r="P20" i="28"/>
  <c r="P23" i="28" s="1"/>
  <c r="L31" i="28"/>
  <c r="L34" i="28" s="1"/>
  <c r="P31" i="28"/>
  <c r="P34" i="28" s="1"/>
  <c r="Q32" i="28"/>
  <c r="R32" i="28" s="1"/>
  <c r="Q35" i="28"/>
  <c r="R35" i="28" s="1"/>
  <c r="P62" i="28"/>
  <c r="Q60" i="28"/>
  <c r="R60" i="28" s="1"/>
  <c r="Q65" i="28"/>
  <c r="R65" i="28" s="1"/>
  <c r="E70" i="28"/>
  <c r="E73" i="28" s="1"/>
  <c r="I70" i="28"/>
  <c r="I73" i="28" s="1"/>
  <c r="M70" i="28"/>
  <c r="M73" i="28" s="1"/>
  <c r="Q67" i="28"/>
  <c r="R67" i="28" s="1"/>
  <c r="Q68" i="28"/>
  <c r="R68" i="28" s="1"/>
  <c r="C18" i="37"/>
  <c r="C30" i="37" s="1"/>
  <c r="G18" i="37"/>
  <c r="G4" i="37" s="1"/>
  <c r="G16" i="37" s="1"/>
  <c r="K18" i="37"/>
  <c r="K4" i="37" s="1"/>
  <c r="K16" i="37" s="1"/>
  <c r="M58" i="37"/>
  <c r="S62" i="37"/>
  <c r="T62" i="37" s="1"/>
  <c r="R65" i="37"/>
  <c r="M86" i="37"/>
  <c r="C15" i="23"/>
  <c r="C16" i="23"/>
  <c r="C17" i="23"/>
  <c r="C18" i="23"/>
  <c r="C19" i="23"/>
  <c r="E28" i="15"/>
  <c r="F28" i="15" s="1"/>
  <c r="I41" i="15"/>
  <c r="C14" i="23"/>
  <c r="C21" i="23"/>
  <c r="F27" i="15"/>
  <c r="I28" i="15"/>
  <c r="J28" i="15" s="1"/>
  <c r="F8" i="15"/>
  <c r="F12" i="15"/>
  <c r="F60" i="15"/>
  <c r="F35" i="15"/>
  <c r="F49" i="15"/>
  <c r="F51" i="15"/>
  <c r="F53" i="15"/>
  <c r="J29" i="15"/>
  <c r="F31" i="15"/>
  <c r="F34" i="15"/>
  <c r="F42" i="15"/>
  <c r="F46" i="15"/>
  <c r="I54" i="15"/>
  <c r="F55" i="15"/>
  <c r="Q43" i="28"/>
  <c r="R43" i="28" s="1"/>
  <c r="Q44" i="28"/>
  <c r="R44" i="28" s="1"/>
  <c r="Q49" i="28"/>
  <c r="R49" i="28" s="1"/>
  <c r="F68" i="15"/>
  <c r="F74" i="15"/>
  <c r="I80" i="15"/>
  <c r="Q45" i="28"/>
  <c r="R45" i="28" s="1"/>
  <c r="E59" i="28"/>
  <c r="I59" i="28"/>
  <c r="I62" i="28" s="1"/>
  <c r="M59" i="28"/>
  <c r="M62" i="28" s="1"/>
  <c r="Q54" i="28"/>
  <c r="R54" i="28" s="1"/>
  <c r="Q61" i="28"/>
  <c r="R61" i="28" s="1"/>
  <c r="Q63" i="28"/>
  <c r="R63" i="28" s="1"/>
  <c r="Q15" i="28"/>
  <c r="R15" i="28" s="1"/>
  <c r="K31" i="28"/>
  <c r="Q26" i="28"/>
  <c r="R26" i="28" s="1"/>
  <c r="Q66" i="28"/>
  <c r="R66" i="28" s="1"/>
  <c r="M164" i="34"/>
  <c r="Q164" i="34" s="1"/>
  <c r="P164" i="34"/>
  <c r="J74" i="15"/>
  <c r="K9" i="28"/>
  <c r="O9" i="28"/>
  <c r="O12" i="28" s="1"/>
  <c r="Q5" i="28"/>
  <c r="R5" i="28" s="1"/>
  <c r="K30" i="37"/>
  <c r="R57" i="37"/>
  <c r="R61" i="37"/>
  <c r="R71" i="37"/>
  <c r="I86" i="37"/>
  <c r="R74" i="37"/>
  <c r="L86" i="37"/>
  <c r="R78" i="37"/>
  <c r="D86" i="37"/>
  <c r="P86" i="37"/>
  <c r="R82" i="37"/>
  <c r="C101" i="37"/>
  <c r="G101" i="37"/>
  <c r="K101" i="37"/>
  <c r="O101" i="37"/>
  <c r="R91" i="37"/>
  <c r="E101" i="37"/>
  <c r="P72" i="37"/>
  <c r="R75" i="37"/>
  <c r="G86" i="37"/>
  <c r="R92" i="37"/>
  <c r="R100" i="37"/>
  <c r="D44" i="37"/>
  <c r="B44" i="37"/>
  <c r="F44" i="37"/>
  <c r="I44" i="37"/>
  <c r="M44" i="37"/>
  <c r="L44" i="37"/>
  <c r="R40" i="37"/>
  <c r="L58" i="37"/>
  <c r="P58" i="37"/>
  <c r="K58" i="37"/>
  <c r="O58" i="37"/>
  <c r="G72" i="37"/>
  <c r="D72" i="37"/>
  <c r="M101" i="37"/>
  <c r="D101" i="37"/>
  <c r="R93" i="37"/>
  <c r="R98" i="37"/>
  <c r="U34" i="37"/>
  <c r="R35" i="37"/>
  <c r="R43" i="37"/>
  <c r="E18" i="37"/>
  <c r="E30" i="37" s="1"/>
  <c r="I18" i="37"/>
  <c r="I30" i="37" s="1"/>
  <c r="M18" i="37"/>
  <c r="M30" i="37" s="1"/>
  <c r="R49" i="37"/>
  <c r="R53" i="37"/>
  <c r="R63" i="37"/>
  <c r="I72" i="37"/>
  <c r="M72" i="37"/>
  <c r="R67" i="37"/>
  <c r="C86" i="37"/>
  <c r="U38" i="37"/>
  <c r="R83" i="37"/>
  <c r="J101" i="37"/>
  <c r="R90" i="37"/>
  <c r="R97" i="37"/>
  <c r="R50" i="37"/>
  <c r="R54" i="37"/>
  <c r="D58" i="37"/>
  <c r="R62" i="37"/>
  <c r="R32" i="37"/>
  <c r="R34" i="37"/>
  <c r="R39" i="37"/>
  <c r="L72" i="37"/>
  <c r="K86" i="37"/>
  <c r="O86" i="37"/>
  <c r="R76" i="37"/>
  <c r="B101" i="37"/>
  <c r="F101" i="37"/>
  <c r="R89" i="37"/>
  <c r="I101" i="37"/>
  <c r="R99" i="37"/>
  <c r="R38" i="37"/>
  <c r="C58" i="37"/>
  <c r="G58" i="37"/>
  <c r="N58" i="37"/>
  <c r="R80" i="37"/>
  <c r="R95" i="37"/>
  <c r="H44" i="37"/>
  <c r="H18" i="37"/>
  <c r="P44" i="37"/>
  <c r="P18" i="37"/>
  <c r="J44" i="37"/>
  <c r="N44" i="37"/>
  <c r="E44" i="37"/>
  <c r="R36" i="37"/>
  <c r="R48" i="37"/>
  <c r="C72" i="37"/>
  <c r="R64" i="37"/>
  <c r="R68" i="37"/>
  <c r="R81" i="37"/>
  <c r="C44" i="37"/>
  <c r="G44" i="37"/>
  <c r="K44" i="37"/>
  <c r="O44" i="37"/>
  <c r="R33" i="37"/>
  <c r="R37" i="37"/>
  <c r="B58" i="37"/>
  <c r="F58" i="37"/>
  <c r="R52" i="37"/>
  <c r="I58" i="37"/>
  <c r="K72" i="37"/>
  <c r="O72" i="37"/>
  <c r="R66" i="37"/>
  <c r="B86" i="37"/>
  <c r="F86" i="37"/>
  <c r="J86" i="37"/>
  <c r="N86" i="37"/>
  <c r="R77" i="37"/>
  <c r="R84" i="37"/>
  <c r="R85" i="37"/>
  <c r="R94" i="37"/>
  <c r="R41" i="37"/>
  <c r="R42" i="37"/>
  <c r="R46" i="37"/>
  <c r="Q18" i="37"/>
  <c r="R55" i="37"/>
  <c r="R56" i="37"/>
  <c r="E58" i="37"/>
  <c r="B72" i="37"/>
  <c r="B18" i="37"/>
  <c r="F72" i="37"/>
  <c r="F18" i="37"/>
  <c r="J72" i="37"/>
  <c r="J18" i="37"/>
  <c r="N72" i="37"/>
  <c r="N18" i="37"/>
  <c r="R60" i="37"/>
  <c r="S61" i="37"/>
  <c r="T61" i="37" s="1"/>
  <c r="R69" i="37"/>
  <c r="R70" i="37"/>
  <c r="E86" i="37"/>
  <c r="R79" i="37"/>
  <c r="L101" i="37"/>
  <c r="P101" i="37"/>
  <c r="R96" i="37"/>
  <c r="U33" i="37"/>
  <c r="R120" i="34" l="1"/>
  <c r="S120" i="34" s="1"/>
  <c r="AK17" i="34"/>
  <c r="AL17" i="34" s="1"/>
  <c r="AJ17" i="34"/>
  <c r="AN17" i="34"/>
  <c r="AA145" i="34"/>
  <c r="AA144" i="34"/>
  <c r="AP33" i="15"/>
  <c r="AT33" i="15" s="1"/>
  <c r="AT32" i="15"/>
  <c r="AK73" i="34"/>
  <c r="S73" i="34"/>
  <c r="AJ18" i="34"/>
  <c r="AK18" i="34"/>
  <c r="AL18" i="34" s="1"/>
  <c r="AN18" i="34"/>
  <c r="AK82" i="34"/>
  <c r="T82" i="34"/>
  <c r="S82" i="34"/>
  <c r="S108" i="34"/>
  <c r="T108" i="34"/>
  <c r="R80" i="34"/>
  <c r="S80" i="34" s="1"/>
  <c r="S102" i="34"/>
  <c r="T102" i="34"/>
  <c r="AK83" i="34"/>
  <c r="S83" i="34"/>
  <c r="T83" i="34"/>
  <c r="T103" i="34"/>
  <c r="S103" i="34"/>
  <c r="E114" i="28"/>
  <c r="Q112" i="28"/>
  <c r="Q114" i="28" s="1"/>
  <c r="R122" i="34" a="1"/>
  <c r="R122" i="34" s="1"/>
  <c r="AJ19" i="34"/>
  <c r="AJ54" i="34"/>
  <c r="AK74" i="34"/>
  <c r="S94" i="34"/>
  <c r="T94" i="34"/>
  <c r="T84" i="34"/>
  <c r="S101" i="34"/>
  <c r="T101" i="34"/>
  <c r="T106" i="34"/>
  <c r="S106" i="34"/>
  <c r="S98" i="34"/>
  <c r="T98" i="34"/>
  <c r="S97" i="34"/>
  <c r="T97" i="34"/>
  <c r="T105" i="34"/>
  <c r="S105" i="34"/>
  <c r="AK120" i="34"/>
  <c r="S68" i="34"/>
  <c r="AL120" i="34" s="1"/>
  <c r="AK68" i="34"/>
  <c r="AK72" i="34"/>
  <c r="AL77" i="34" s="1"/>
  <c r="S72" i="34"/>
  <c r="T128" i="34"/>
  <c r="AN67" i="34"/>
  <c r="AN68" i="34"/>
  <c r="S67" i="34"/>
  <c r="R124" i="34" a="1"/>
  <c r="R124" i="34" s="1"/>
  <c r="AJ121" i="34"/>
  <c r="AJ67" i="34"/>
  <c r="T104" i="34"/>
  <c r="T95" i="34"/>
  <c r="S95" i="34"/>
  <c r="AN54" i="34"/>
  <c r="S54" i="34"/>
  <c r="AK81" i="34"/>
  <c r="T81" i="34"/>
  <c r="S81" i="34"/>
  <c r="Q109" i="28"/>
  <c r="T99" i="34"/>
  <c r="S99" i="34"/>
  <c r="R86" i="34"/>
  <c r="AK75" i="34"/>
  <c r="S75" i="34"/>
  <c r="O4" i="37"/>
  <c r="O16" i="37" s="1"/>
  <c r="E4" i="37"/>
  <c r="E16" i="37" s="1"/>
  <c r="Q48" i="28"/>
  <c r="R48" i="28" s="1"/>
  <c r="D4" i="37"/>
  <c r="D16" i="37" s="1"/>
  <c r="M4" i="37"/>
  <c r="M16" i="37" s="1"/>
  <c r="Q23" i="28"/>
  <c r="R23" i="28" s="1"/>
  <c r="AU30" i="15"/>
  <c r="AV30" i="15" s="1"/>
  <c r="AW30" i="15" s="1"/>
  <c r="L30" i="37"/>
  <c r="G30" i="37"/>
  <c r="C4" i="37"/>
  <c r="C16" i="37" s="1"/>
  <c r="C20" i="23"/>
  <c r="J80" i="15"/>
  <c r="I4" i="37"/>
  <c r="I16" i="37" s="1"/>
  <c r="Q20" i="28"/>
  <c r="R20" i="28" s="1"/>
  <c r="Q51" i="28"/>
  <c r="Q53" i="28" s="1"/>
  <c r="R53" i="28" s="1"/>
  <c r="S85" i="37"/>
  <c r="J54" i="15"/>
  <c r="AU32" i="15"/>
  <c r="AV32" i="15" s="1"/>
  <c r="AW32" i="15" s="1"/>
  <c r="Q70" i="28"/>
  <c r="R70" i="28" s="1"/>
  <c r="F41" i="15"/>
  <c r="U39" i="37"/>
  <c r="Q73" i="28"/>
  <c r="Q75" i="28" s="1"/>
  <c r="R75" i="28" s="1"/>
  <c r="L24" i="24"/>
  <c r="Q44" i="37"/>
  <c r="S44" i="37" s="1"/>
  <c r="C24" i="24"/>
  <c r="F24" i="24"/>
  <c r="K12" i="28"/>
  <c r="Q12" i="28" s="1"/>
  <c r="Q9" i="28"/>
  <c r="R9" i="28" s="1"/>
  <c r="I24" i="24"/>
  <c r="H24" i="24"/>
  <c r="K34" i="28"/>
  <c r="Q34" i="28" s="1"/>
  <c r="Q31" i="28"/>
  <c r="R31" i="28" s="1"/>
  <c r="J24" i="24"/>
  <c r="F67" i="15"/>
  <c r="J41" i="15"/>
  <c r="Q25" i="28"/>
  <c r="R25" i="28" s="1"/>
  <c r="E24" i="24"/>
  <c r="D24" i="24"/>
  <c r="Q59" i="28"/>
  <c r="R59" i="28" s="1"/>
  <c r="E62" i="28"/>
  <c r="Q62" i="28" s="1"/>
  <c r="G24" i="24"/>
  <c r="F80" i="15"/>
  <c r="F54" i="15"/>
  <c r="AU31" i="15"/>
  <c r="AV31" i="15" s="1"/>
  <c r="AW31" i="15" s="1"/>
  <c r="P30" i="37"/>
  <c r="P4" i="37"/>
  <c r="P16" i="37" s="1"/>
  <c r="Q58" i="37"/>
  <c r="J4" i="37"/>
  <c r="J16" i="37" s="1"/>
  <c r="J30" i="37"/>
  <c r="B4" i="37"/>
  <c r="B16" i="37" s="1"/>
  <c r="B30" i="37"/>
  <c r="Q86" i="37"/>
  <c r="H30" i="37"/>
  <c r="H4" i="37"/>
  <c r="H16" i="37" s="1"/>
  <c r="N4" i="37"/>
  <c r="N16" i="37" s="1"/>
  <c r="N30" i="37"/>
  <c r="F4" i="37"/>
  <c r="F16" i="37" s="1"/>
  <c r="F30" i="37"/>
  <c r="Q72" i="37"/>
  <c r="Q4" i="37"/>
  <c r="R18" i="37"/>
  <c r="U40" i="37"/>
  <c r="Q101" i="37"/>
  <c r="Z147" i="34" l="1"/>
  <c r="AB147" i="34" s="1"/>
  <c r="AA146" i="34"/>
  <c r="AL81" i="34"/>
  <c r="AA147" i="34"/>
  <c r="R93" i="34"/>
  <c r="S93" i="34" s="1"/>
  <c r="R51" i="28"/>
  <c r="S122" i="34"/>
  <c r="R123" i="34" a="1"/>
  <c r="R123" i="34" s="1"/>
  <c r="AK86" i="34"/>
  <c r="S86" i="34"/>
  <c r="T86" i="34"/>
  <c r="T87" i="34"/>
  <c r="S124" i="34"/>
  <c r="R125" i="34" a="1"/>
  <c r="R125" i="34" s="1"/>
  <c r="AL78" i="34"/>
  <c r="AL76" i="34"/>
  <c r="R44" i="37"/>
  <c r="T44" i="37"/>
  <c r="R73" i="28"/>
  <c r="R34" i="28"/>
  <c r="Q36" i="28"/>
  <c r="R36" i="28" s="1"/>
  <c r="R62" i="28"/>
  <c r="Q64" i="28"/>
  <c r="R64" i="28" s="1"/>
  <c r="R12" i="28"/>
  <c r="Q14" i="28"/>
  <c r="R14" i="28" s="1"/>
  <c r="R86" i="37"/>
  <c r="S86" i="37"/>
  <c r="T85" i="37"/>
  <c r="Q30" i="37"/>
  <c r="S58" i="37"/>
  <c r="R58" i="37"/>
  <c r="S101" i="37"/>
  <c r="R101" i="37"/>
  <c r="T100" i="37"/>
  <c r="R72" i="37"/>
  <c r="S72" i="37"/>
  <c r="T71" i="37"/>
  <c r="R4" i="37"/>
  <c r="Q16" i="37"/>
  <c r="T29" i="37" l="1"/>
  <c r="R30" i="37"/>
  <c r="S30" i="37"/>
  <c r="T15" i="37"/>
  <c r="S16" i="37"/>
  <c r="R16" i="37"/>
  <c r="K24" i="24" l="1"/>
  <c r="O2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Bret Thomas Pittenger</author>
  </authors>
  <commentList>
    <comment ref="AA136" authorId="0" shapeId="0" xr:uid="{00000000-0006-0000-1400-000001000000}">
      <text>
        <r>
          <rPr>
            <b/>
            <sz val="9"/>
            <color indexed="81"/>
            <rFont val="Tahoma"/>
            <family val="2"/>
          </rPr>
          <t>Bret Thomas Pittenger:</t>
        </r>
        <r>
          <rPr>
            <sz val="9"/>
            <color indexed="81"/>
            <rFont val="Tahoma"/>
            <family val="2"/>
          </rPr>
          <t xml:space="preserve">
E and F unassigned shouldn’t have any like this. From Jen. Put in AFDC categorically eligible</t>
        </r>
      </text>
    </comment>
    <comment ref="AF142" authorId="0" shapeId="0" xr:uid="{00000000-0006-0000-1400-000002000000}">
      <text>
        <r>
          <rPr>
            <b/>
            <sz val="9"/>
            <color indexed="81"/>
            <rFont val="Tahoma"/>
            <family val="2"/>
          </rPr>
          <t>Bret Thomas Pittenger:</t>
        </r>
        <r>
          <rPr>
            <sz val="9"/>
            <color indexed="81"/>
            <rFont val="Tahoma"/>
            <family val="2"/>
          </rPr>
          <t xml:space="preserve">
these are anomalies and should be coded as the far right notes. This is from the may JBC report for April caseload</t>
        </r>
      </text>
    </comment>
  </commentList>
</comments>
</file>

<file path=xl/sharedStrings.xml><?xml version="1.0" encoding="utf-8"?>
<sst xmlns="http://schemas.openxmlformats.org/spreadsheetml/2006/main" count="815" uniqueCount="422">
  <si>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</si>
  <si>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</si>
  <si>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</si>
  <si>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</si>
  <si>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</si>
  <si>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</si>
  <si>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</si>
  <si>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</si>
  <si>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</si>
  <si>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</si>
  <si>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</si>
  <si>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</si>
  <si>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</si>
  <si>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</si>
  <si>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</si>
  <si>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</si>
  <si>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</si>
  <si>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</si>
  <si>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Monthly Growth</t>
  </si>
  <si>
    <t>Breast &amp; Cervical Cancer Program</t>
  </si>
  <si>
    <t>Foster Care</t>
  </si>
  <si>
    <t>Monthly Growth Rate</t>
  </si>
  <si>
    <t>Children Dental Expenditures</t>
  </si>
  <si>
    <t>Remaining in Appropriation</t>
  </si>
  <si>
    <t>Notes:</t>
  </si>
  <si>
    <t xml:space="preserve">June </t>
  </si>
  <si>
    <t>HMO Average</t>
  </si>
  <si>
    <t>PCPP Average</t>
  </si>
  <si>
    <t>Total Children</t>
  </si>
  <si>
    <t>Total Prenatal</t>
  </si>
  <si>
    <t xml:space="preserve">Mental Health Capitation Payments </t>
  </si>
  <si>
    <t>Mental Health Fee for Service Payments</t>
  </si>
  <si>
    <t>Partial Dual Eligibles</t>
  </si>
  <si>
    <t>Total Year-to-Date Expenditures</t>
  </si>
  <si>
    <t>Total Year-to-Date Appropriation</t>
  </si>
  <si>
    <t>Over-the-year Growth</t>
  </si>
  <si>
    <t>Over-the-year Growth Rate</t>
  </si>
  <si>
    <t>1)  All children's caseload reporting includes the CHP+ at Work program.</t>
  </si>
  <si>
    <t>Total</t>
  </si>
  <si>
    <t>Behavioral Healthcare Inc.</t>
  </si>
  <si>
    <t>Northeast Behavioral Health</t>
  </si>
  <si>
    <t>Colorado Health Partnerships</t>
  </si>
  <si>
    <t>Other</t>
  </si>
  <si>
    <t>Total Year-to-Date Average</t>
  </si>
  <si>
    <t>Old Age Pension State Medical Program Caseload</t>
  </si>
  <si>
    <t>1)  Source for all caseload data provided is the REX01/COLD (MARS) R-474701 report.  The number of days captured in the monthly figure is equal to the number of days in the report month.</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</si>
  <si>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</si>
  <si>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</si>
  <si>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</si>
  <si>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</si>
  <si>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</si>
  <si>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</si>
  <si>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</si>
  <si>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</si>
  <si>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</si>
  <si>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</si>
  <si>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</si>
  <si>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</si>
  <si>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</si>
  <si>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</si>
  <si>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</si>
  <si>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</si>
  <si>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Consumer Directed Attendant Support</t>
  </si>
  <si>
    <t>HCBS - Brain Injury</t>
  </si>
  <si>
    <t>HCBS - Children with Autism</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</si>
  <si>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</si>
  <si>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</si>
  <si>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</si>
  <si>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</si>
  <si>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</si>
  <si>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</si>
  <si>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</si>
  <si>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</si>
  <si>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</si>
  <si>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</si>
  <si>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</si>
  <si>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</si>
  <si>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</si>
  <si>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</si>
  <si>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</si>
  <si>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</si>
  <si>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</si>
  <si>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</si>
  <si>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</si>
  <si>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</si>
  <si>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</si>
  <si>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Class I Nursing Facilities</t>
  </si>
  <si>
    <t>Class II Nursing Facilities</t>
  </si>
  <si>
    <t>Program of All-Inclusive Care for the Elderly</t>
  </si>
  <si>
    <t>Single Entry Points</t>
  </si>
  <si>
    <t>Disease Management</t>
  </si>
  <si>
    <t>Prepaid Inpatient Health Plan Administration</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</si>
  <si>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</si>
  <si>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</si>
  <si>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</si>
  <si>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</si>
  <si>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</si>
  <si>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</si>
  <si>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</si>
  <si>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</si>
  <si>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</si>
  <si>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</si>
  <si>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</si>
  <si>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</si>
  <si>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</si>
  <si>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</si>
  <si>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</si>
  <si>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Kaiser</t>
  </si>
  <si>
    <t>DH</t>
  </si>
  <si>
    <t>Rocky</t>
  </si>
  <si>
    <t>CO Choice</t>
  </si>
  <si>
    <t xml:space="preserve">From Plans </t>
  </si>
  <si>
    <t>Caseload</t>
  </si>
  <si>
    <t>Oracle "alter table" add column syntax example</t>
  </si>
  <si>
    <t xml:space="preserve">FY 2011-12 Actuals </t>
  </si>
  <si>
    <t>FY 2011-12 Actuals</t>
  </si>
  <si>
    <t>HCBS - Spinal Cord Injury</t>
  </si>
  <si>
    <t>VALID_VALUE_CD</t>
  </si>
  <si>
    <t>VALID_VALUE_SRC_CD</t>
  </si>
  <si>
    <t>VALID_VALUE_DSC</t>
  </si>
  <si>
    <t>FPL</t>
  </si>
  <si>
    <t>CD09</t>
  </si>
  <si>
    <t>E10</t>
  </si>
  <si>
    <t>101-133% - BEG DT. 04-01-2010</t>
  </si>
  <si>
    <t>see note attached</t>
  </si>
  <si>
    <t>see attached note have no clue where else to put them but in AFDC</t>
  </si>
  <si>
    <t>CD09 IN BOTH MONTHS</t>
  </si>
  <si>
    <t>FY 2012-13 Actuals</t>
  </si>
  <si>
    <t xml:space="preserve">FY 2012-13 Actuals </t>
  </si>
  <si>
    <t>3)  Year-to-Date Totals are calculated as the sum of monthly expenditures and the average of monthly caseload.</t>
  </si>
  <si>
    <t>Foothills Behavioral Health</t>
  </si>
  <si>
    <t xml:space="preserve">Foothills Behavioral Health </t>
  </si>
  <si>
    <t>2) Total November and December expenditure is not equal to the sum of payments made to individual plans due to an accounting adjustment.</t>
  </si>
  <si>
    <t>Client Eligibility:</t>
  </si>
  <si>
    <t>Eligibility Begin Date &lt;=current_date</t>
  </si>
  <si>
    <t>Eligibility End Date &gt;=current_date</t>
  </si>
  <si>
    <t>Program Aid Code = 'HD'or (Program Aid Code = 'HR' and FPL Percentage Amount &gt;=69)</t>
  </si>
  <si>
    <t>Case when</t>
  </si>
  <si>
    <t>Program Aid Code = 'HD' and FPL &gt;=108 and Benchmark ID between in ('BA','BB','BC','BD','BF','BG')</t>
  </si>
  <si>
    <t>OR Program Aid Code = 'HR' and Benchmark ID in ('BA','BB','BC','BD','BF','BG')</t>
  </si>
  <si>
    <t>then 'Parents/Caretakers'</t>
  </si>
  <si>
    <t xml:space="preserve">When Program Aid Code = 'HD' and (Benchmark ID not in ('AE',BE') </t>
  </si>
  <si>
    <t>or Benchmark ID = ' ')</t>
  </si>
  <si>
    <t>Then 'MAGI Adults'</t>
  </si>
  <si>
    <t>else 'Other'</t>
  </si>
  <si>
    <t>End</t>
  </si>
  <si>
    <t>Total Expenditure</t>
  </si>
  <si>
    <t>3) Total expenditure includes accounting adjustments not related to specific Behavioral Health Organizations</t>
  </si>
  <si>
    <t xml:space="preserve">1) FY 2013-14 Year-to-Date Appropriation includes FY 2013-14 Supplemental Bill HB 14-1236 and Special Bills </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</si>
  <si>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</si>
  <si>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</si>
  <si>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</si>
  <si>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</si>
  <si>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</si>
  <si>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</si>
  <si>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</si>
  <si>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</si>
  <si>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</si>
  <si>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</si>
  <si>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</si>
  <si>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</si>
  <si>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</si>
  <si>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</si>
  <si>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</si>
  <si>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</si>
  <si>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</si>
  <si>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</si>
  <si>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</si>
  <si>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</si>
  <si>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</si>
  <si>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</si>
  <si>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Notes: </t>
  </si>
  <si>
    <t xml:space="preserve">December    </t>
  </si>
  <si>
    <r>
      <t>MEDICAID CASELOAD WITHOUT RETROACTIVITY</t>
    </r>
    <r>
      <rPr>
        <b/>
        <vertAlign val="superscript"/>
        <sz val="12"/>
        <rFont val="Times New Roman"/>
        <family val="1"/>
      </rPr>
      <t>1</t>
    </r>
  </si>
  <si>
    <t xml:space="preserve">FY 2013-14 Actuals </t>
  </si>
  <si>
    <t>1)  Caseload for Medicare Modernization Act State Contribution Payment is from the Centers for Medicare and Medicaid Services Summary Accounting Statement for the State Contribution for Prescription Drug Benefit.  This caseload includes 23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</si>
  <si>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</si>
  <si>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1)  "Other" category includes clients enrolled in the Program of All-Inclusive Care for the Elderly and clients ineligible for Medicaid Mental Health Benefits.</t>
  </si>
  <si>
    <t>Appr in Long Bill</t>
  </si>
  <si>
    <t>Add BCCP</t>
  </si>
  <si>
    <t>New Total</t>
  </si>
  <si>
    <t>Service Mgmt.</t>
  </si>
  <si>
    <t>71-80% FPL Child Disable BuyIn</t>
  </si>
  <si>
    <t>DIDD</t>
  </si>
  <si>
    <t>DIDD Subtotal</t>
  </si>
  <si>
    <t>HCBS - Developmental Disabilities</t>
  </si>
  <si>
    <t>Medical Services Premiums
Hospital Supplemental Payments</t>
  </si>
  <si>
    <t>Total Medical Services Premiums Payments</t>
  </si>
  <si>
    <t>CICP</t>
  </si>
  <si>
    <t>Total CICP Payments</t>
  </si>
  <si>
    <t>Total Supplemental Payments</t>
  </si>
  <si>
    <t>2)  "HMO Average" line includes all risk-based managed care, such as Health Maintenance Organizations (HMO) and Program of All-Inclusive Care for the Elderly (PACE).  "PIHP Average" line includes non-risk based managed care, such as Prepaid Inpatient Health Plans.</t>
  </si>
  <si>
    <t xml:space="preserve">     "ACC Average" is the Accountable Care Collaborative.</t>
  </si>
  <si>
    <t>Rocky Mountain Health Plans HMO</t>
  </si>
  <si>
    <t>Denver Health &amp; Hospital Authority HMO</t>
  </si>
  <si>
    <t>Inpatient Medicaid Supplemental Payments</t>
  </si>
  <si>
    <t>Medicaid Hospital Quality Incentive Payments</t>
  </si>
  <si>
    <t>Outpatient Medicaid Supplemental Payments</t>
  </si>
  <si>
    <t>AAAAAAAAA</t>
  </si>
  <si>
    <t xml:space="preserve">2) Family Support Services Program does not have a caseload appropriation. Services are rendered on a case-by-case and as needed basis. </t>
  </si>
  <si>
    <t>* Manual adjustment made in January to force a TRUE statement</t>
  </si>
  <si>
    <t>Accountable Care Collaborative Caseload by RCCO and 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</si>
  <si>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</si>
  <si>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</si>
  <si>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</si>
  <si>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</si>
  <si>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</si>
  <si>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</si>
  <si>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</si>
  <si>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</si>
  <si>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</si>
  <si>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</si>
  <si>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</si>
  <si>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</si>
  <si>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</si>
  <si>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</si>
  <si>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</si>
  <si>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</si>
  <si>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</si>
  <si>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</si>
  <si>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</si>
  <si>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</si>
  <si>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</si>
  <si>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</si>
  <si>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</si>
  <si>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</si>
  <si>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</si>
  <si>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</si>
  <si>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</si>
  <si>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</si>
  <si>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</si>
  <si>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</si>
  <si>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</si>
  <si>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</si>
  <si>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</si>
  <si>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</si>
  <si>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</si>
  <si>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</si>
  <si>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</si>
  <si>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</si>
  <si>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</si>
  <si>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</si>
  <si>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</si>
  <si>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</si>
  <si>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</si>
  <si>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</si>
  <si>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</si>
  <si>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</si>
  <si>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</si>
  <si>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</si>
  <si>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</si>
  <si>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</si>
  <si>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</si>
  <si>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</si>
  <si>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</si>
  <si>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</si>
  <si>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</si>
  <si>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</si>
  <si>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</si>
  <si>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</si>
  <si>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</si>
  <si>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</si>
  <si>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</si>
  <si>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</si>
  <si>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</si>
  <si>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</si>
  <si>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RCCO</t>
  </si>
  <si>
    <t>County</t>
  </si>
  <si>
    <t>RCCO 2</t>
  </si>
  <si>
    <t>RCCO 4</t>
  </si>
  <si>
    <t>RCCO 5</t>
  </si>
  <si>
    <t>RCCO 6</t>
  </si>
  <si>
    <t>RCCO 7</t>
  </si>
  <si>
    <t>Total ACC Caseload</t>
  </si>
  <si>
    <t>(1) Client movement between counties and presumptive eligibility are captured in the "Unknown" county category.</t>
  </si>
  <si>
    <r>
      <t>Unknown</t>
    </r>
    <r>
      <rPr>
        <vertAlign val="superscript"/>
        <sz val="12"/>
        <rFont val="Times New Roman"/>
        <family val="1"/>
      </rPr>
      <t>(1)</t>
    </r>
  </si>
  <si>
    <t>FY 2015-16</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</si>
  <si>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Mental Health caseload is the same as the caseload for Medical Services Premiums, with the exception of Non-citizens and Partial Dual Eligibles.</t>
  </si>
  <si>
    <t>FY 2014-15 Actuals</t>
  </si>
  <si>
    <t>Program</t>
  </si>
  <si>
    <t>HCBS - Developmental Disabilities - Regional Centers</t>
  </si>
  <si>
    <t>Quality Assurance, Utilization Review and Supports Intensity Scale</t>
  </si>
  <si>
    <t>State Only Case Management</t>
  </si>
  <si>
    <t xml:space="preserve">FY 2014-15 Actuals </t>
  </si>
  <si>
    <r>
      <t>ACC Average</t>
    </r>
    <r>
      <rPr>
        <b/>
        <vertAlign val="superscript"/>
        <sz val="12"/>
        <rFont val="Times New Roman"/>
        <family val="1"/>
      </rPr>
      <t>6</t>
    </r>
  </si>
  <si>
    <r>
      <t>RCCO 1</t>
    </r>
    <r>
      <rPr>
        <b/>
        <vertAlign val="superscript"/>
        <sz val="12"/>
        <rFont val="Times New Roman"/>
        <family val="1"/>
      </rPr>
      <t>2</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</si>
  <si>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</si>
  <si>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</si>
  <si>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</si>
  <si>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</si>
  <si>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</si>
  <si>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</si>
  <si>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</si>
  <si>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&lt;--This prints out fine, don't adjust please</t>
  </si>
  <si>
    <t>Acute Home Health</t>
  </si>
  <si>
    <t>Long-Term Home Health</t>
  </si>
  <si>
    <t>If this is not true add/remove rounding from the YTD Average line</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</si>
  <si>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</si>
  <si>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</si>
  <si>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</si>
  <si>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</si>
  <si>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</si>
  <si>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</si>
  <si>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</si>
  <si>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</si>
  <si>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</si>
  <si>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</si>
  <si>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</si>
  <si>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</si>
  <si>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</si>
  <si>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</si>
  <si>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</si>
  <si>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</si>
  <si>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</si>
  <si>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</si>
  <si>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Colorado Access Northeast</t>
  </si>
  <si>
    <t>Colorado Access Denver</t>
  </si>
  <si>
    <t>Uncompensated Care Supplemental Hospital Medicaid Payment</t>
  </si>
  <si>
    <t>1) Source for all caseload data provided is the REX01/COLD (MARS) R-474701 report.  The number of days captured in the monthly figure is equal to the number of days in the report month.</t>
  </si>
  <si>
    <t>CCT - Services</t>
  </si>
  <si>
    <t>&lt;--Prints out fine.</t>
  </si>
  <si>
    <t>2)  FY 2015-16 Year-to-Date Appropriation includes HB 15-234 (FY 2015-16 Long Bill), Special Bills, HB 16-1240 (FY 2015-16 Supplemental Bill), and HB 16-1405 (FY 2016-17 Long Bill Add-on).</t>
  </si>
  <si>
    <t>FY 2015-16 Actuals</t>
  </si>
  <si>
    <t>FY 2016-17 Year-to-Date Average</t>
  </si>
  <si>
    <t>Access - Kaiser HMO</t>
  </si>
  <si>
    <t>(2) RCCO 1 includes caseload for Rocky Mountain Health Plans HMO and RCCO 3 includes caseload for the Access-Kaiser HMO, as these pilots are ACC initiatives.</t>
  </si>
  <si>
    <t xml:space="preserve">FY 2015-16 Actuals </t>
  </si>
  <si>
    <t>3) Medicaid Managed Care includes clients who are enrolled in Rocky Mountain Health Plans HMO, Access-Kaiser HMO, Denver Health &amp; Hospital Authority HMO, and PACE.</t>
  </si>
  <si>
    <t>1) Historically, DIDD State Only Programs and QA/UR/SIS do not have expenditures in accounting period 1. They do, however, have historical expenditures in periods 02 through 13.</t>
  </si>
  <si>
    <r>
      <t>RCCO 3</t>
    </r>
    <r>
      <rPr>
        <b/>
        <vertAlign val="superscript"/>
        <sz val="12"/>
        <rFont val="Times New Roman"/>
        <family val="1"/>
      </rPr>
      <t>2</t>
    </r>
  </si>
  <si>
    <t>Other Payment and Adjustments</t>
  </si>
  <si>
    <t>5) Accountable Care Collaborative (ACC) caseload includes ACC Managed Fee for Service enrollment, as well as the Rocky Mountain Health Plans HMO enrollment and Access-Kaiser HMO, as these pilots are ACC initiatives.</t>
  </si>
  <si>
    <r>
      <t>ACC - Accountable Care Collaborative</t>
    </r>
    <r>
      <rPr>
        <b/>
        <vertAlign val="superscript"/>
        <sz val="12"/>
        <rFont val="Times New Roman"/>
        <family val="1"/>
      </rPr>
      <t>5</t>
    </r>
  </si>
  <si>
    <r>
      <t>PACE - Program of All-Inclusive Care for the Elderly</t>
    </r>
    <r>
      <rPr>
        <b/>
        <vertAlign val="superscript"/>
        <sz val="12"/>
        <rFont val="Times New Roman"/>
        <family val="1"/>
      </rPr>
      <t xml:space="preserve">4 </t>
    </r>
  </si>
  <si>
    <t>CICP Disproportionate Share Hospital (DSH) Payment</t>
  </si>
  <si>
    <t>4) The number of reported PACE enrollees is artificially low in the months of August through January due to systems issues identifying PACE members.  These systems issues have been resolved as of the March 2017 report.  Please refer to the February 2017 Medical Services Premiums forecast for the most up-to-date enrollment estimates.</t>
  </si>
  <si>
    <t>2) Medicaid Fee for Service includes all Medicaid clients who are not enrolled in a Managed Care program.  Enrollment here includes Managed Fee for Service ACC enrollment, but does not include all clients shown in the ACC Accountable Care Collaborative section.  See Footnote 5 for more information.</t>
  </si>
  <si>
    <t>This month contains retroactivity; nothing we can do now</t>
  </si>
  <si>
    <t>A
A</t>
  </si>
  <si>
    <t>Preventive Services</t>
  </si>
  <si>
    <t>A 
A</t>
  </si>
  <si>
    <t>A
A
A</t>
  </si>
  <si>
    <t>A
A
A
A</t>
  </si>
  <si>
    <r>
      <t>MAGI Parents/ Caretakers 69% to 133% FPL</t>
    </r>
    <r>
      <rPr>
        <b/>
        <vertAlign val="superscript"/>
        <sz val="12"/>
        <rFont val="Times New Roman"/>
        <family val="1"/>
      </rPr>
      <t>3</t>
    </r>
  </si>
  <si>
    <r>
      <t>MAGI Adults</t>
    </r>
    <r>
      <rPr>
        <b/>
        <vertAlign val="superscript"/>
        <sz val="12"/>
        <rFont val="Times New Roman"/>
        <family val="1"/>
      </rPr>
      <t>3</t>
    </r>
  </si>
  <si>
    <t>2) Starting in the June 2017 JBC Premiums Report, the FY 2016-17 Year-to-Date Appropriation includes SB 17-254 (FY 2017-18 Long Bill Add-On).</t>
  </si>
  <si>
    <t>Medicaid Disproportionate Share Hospital (DSH) and Other Payments</t>
  </si>
  <si>
    <t>3) For the July 2017 JBC Premiums Report, the Department is reporting MAGI Adults and MAGI Parents/Caretakers 69% to 133% FPL as one category, as there is a system issue affecting the distribution between the categories.  The Department will restate the figures with the approriate distribution between the two expansion categories when the system issue is resolved.</t>
  </si>
  <si>
    <t>4) In the July 2017 JBC Premiums Report, the Department restated caseload data for March, April, and May 2017 to correct an issue with retroactivity that was affecting the totals in previous reports.</t>
  </si>
  <si>
    <t>FY 2017-18</t>
  </si>
  <si>
    <t>FY 2017-18 Total YTD</t>
  </si>
  <si>
    <t>FY 2017-18 Appropriation</t>
  </si>
  <si>
    <t>SB 17-091 "Allow Medicaid Home Health in the Community"</t>
  </si>
  <si>
    <t>SB 17-256 "Hospital Reimbursement Rates"</t>
  </si>
  <si>
    <t>SB 17-267 "Sustainability of Rural Colorado"</t>
  </si>
  <si>
    <t>HB 17-1353 "Implement Medicaid Delivery and Payment Initiatives"</t>
  </si>
  <si>
    <t>FY 2017-18 Appropriation YTD</t>
  </si>
  <si>
    <t>FY 2017-18 YTD Expenditures</t>
  </si>
  <si>
    <t xml:space="preserve">Remaining FY 2017-18 Appropriation </t>
  </si>
  <si>
    <t>FY 2017-18 Supplemental Payments by Service Category</t>
  </si>
  <si>
    <t>FY 2016-17 Actuals</t>
  </si>
  <si>
    <t>FY 2017-18 Year-to-Date Average</t>
  </si>
  <si>
    <t>FY 2017-18 Year-to-Date Appropriation</t>
  </si>
  <si>
    <t>FY 2017-18 Old Age Pension State Medical Program Expenditures and Caseload</t>
  </si>
  <si>
    <t>FY 2017-18 Medicare Modernization Act State Contribution Payment Expenditures and Caseload</t>
  </si>
  <si>
    <t>FY 2017-18 Division for Intellectual and Developmental Disabilities (DIDD) Waiver and State Only Program Caseload Per Month</t>
  </si>
  <si>
    <t>FY 2017-18 Average YTD</t>
  </si>
  <si>
    <t>FY 2017-18 Authorized Maximum Enrollment</t>
  </si>
  <si>
    <t>Percent of FY 2017-18 Appropriation Spent</t>
  </si>
  <si>
    <t>FY 2017-18 Division for Intellectual and Developmental Disabilities (DIDD) Waiver and State Only Program Expenditure Per Month</t>
  </si>
  <si>
    <t>FY 2017-18 Average Monthly Enrollment</t>
  </si>
  <si>
    <t>A</t>
  </si>
  <si>
    <t>FY 2017-18 Medicaid Mental Health Community Programs Expenditures</t>
  </si>
  <si>
    <t>FY 2017-18 Medicaid Community Mental Health Program Expenditures by Behavioral Health Organization</t>
  </si>
  <si>
    <t>FY 2017-18 Medicaid Community Mental Health Program Caseload by Behavioral Health Organization</t>
  </si>
  <si>
    <t xml:space="preserve">FY 2016-17 Actuals </t>
  </si>
  <si>
    <t xml:space="preserve">6)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August 15, 2017, and may be restated in future reports based on further analysis.  </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</si>
  <si>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August 15, 2017, and may be restated in future reports based on further analysis.  </t>
  </si>
  <si>
    <t>3) FY 2017-18 Appropriations for DIDD Supported Living Services and Targeted Case Management were adjusted to reflect only the portion appropriated for those services. State-only program appropriations were removed.</t>
  </si>
  <si>
    <t>4) A system issue skewed the distribution of caseload between the MAGI Adults and MAGI Parents/Caretakers 69% to 133% categories for March, April, and May 2017, artifically inflating MAGI Parents/Caretakers 69% to 133% and deflating MAGI Adults; the system issue was resolved by June 2017.</t>
  </si>
  <si>
    <t>2) Medicaid Fee for Service includes all Medicaid clients who are not enrolled in a Managed Care program.  Enrollment here includes Managed Fee for Service ACC enrollment, but does not include all clients shown in the ACC Accountable Care Collaborative section.  See Footnote 4 for more information.</t>
  </si>
  <si>
    <t>4) Accountable Care Collaborative (ACC) caseload includes ACC Managed Fee for Service enrollment, as well as the Rocky Mountain Health Plans HMO enrollment and Access-Kaiser HMO, as these pilots are ACC initiatives.</t>
  </si>
  <si>
    <t>FY 2017-18  YTD</t>
  </si>
  <si>
    <t>HCBS - Children's HCBS</t>
  </si>
  <si>
    <t>HCBS - Children with Life Limiting Illness</t>
  </si>
  <si>
    <t>HCBS - Community Mental Health Supports</t>
  </si>
  <si>
    <t>FY 2017-18 Children's Basic Health Plan Expenditures</t>
  </si>
  <si>
    <t>N/A</t>
  </si>
  <si>
    <t>University of Colorado School of Medicine Payments</t>
  </si>
  <si>
    <t xml:space="preserve">2) For the January 2018 report, the Department restated expenditure for July through November, as the result of a system improvement allowing for better identification of data. The net effect on expenditure is zero, but the expenditure by category has changed among services and appropriations.  </t>
  </si>
  <si>
    <t xml:space="preserve">6) In the January 2018 report, the Department restated caseload for July through November, as the result of improved identification of eligibility categories within the data. This change resulted in fluctuations among the MAGI Parents/Caretakers to 68% FPL, MAGI Eligible Children, SB 11-008 Eligible Children, MAGI Pregnant Adults, and SB 11-250 Eligible Pregnant Adults categories.  </t>
  </si>
  <si>
    <t xml:space="preserve">4) For the January 2018 report, the Department restated expenditure for July through November, as the result of a system improvement allowing for better identification of data. The net effect on expenditure is zero, but the expenditure by category has changed among services and appropriations.  </t>
  </si>
  <si>
    <t>5) Mental Health Capitation Payments expenditure for December 2017 is negative due to the collection of anticipated recoupments from Behavioral Health Organizations.</t>
  </si>
  <si>
    <t>3) For the January 2018 report, the Department restated expenditure for July through November, as the result of a system improvement allowing for better identification of data. The net effect on expenditure is zero, but the expenditure by category has changed among services and appropriations.</t>
  </si>
  <si>
    <t>4) For the January 2018 report, the Department restated expenditure for July through November, as the result of a system improvement allowing for better identification of data. The net effect on expenditure is zero, but the expenditure by category has changed among services and appropriations.</t>
  </si>
  <si>
    <t>5) Mental Health Program Expenditures for December 2017 are primarily negative due to the collection of anticipated recoupments from Behavioral Health Organizations.</t>
  </si>
  <si>
    <t>6) For the January 2018 report, the Department restated expenditure for July through November, as the result of a system improvement allowing for better identification of data. The net effect on expenditure is zero, but the expenditure by category has changed among services and appropriations.</t>
  </si>
  <si>
    <t>3) Excess funds in the Old Age Pension Health and Medical Care Fund are used to offset the need for General Fund in the Medical Services Premiums line item.</t>
  </si>
  <si>
    <t>2) Year-to-Date Totals are calculated as the sum of monthly expenditures and the average of monthly caseload.</t>
  </si>
  <si>
    <t xml:space="preserve">5) In the January 2018 report, the Department restated caseload for March through November, as the result of improved identification of eligibility categories within the data. This change resulted in fluctuations among the MAGI Parents/Caretakers to 68% FPL, MAGI Eligible Children, SB 11-008 Eligible Children, MAGI Pregnant Adults, and SB 11-250 Eligible Pregnant Adults categories.  </t>
  </si>
  <si>
    <t>Clinic Services</t>
  </si>
  <si>
    <t>4) Children's Basic Health Plan Expenditures for December 2017 and January 2018 are inflated due to the payment of interim payments for the State Managed Care Network.</t>
  </si>
  <si>
    <t>1) The Medicaid Mental Health caseload is the same as the caseload for Medical Services Premiums, with the exception of Non-citizens and Partial Dual Eligibles.</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</si>
  <si>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May 15, 2018, and may be restated in future reports based on further analysis.  </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</si>
  <si>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May 15, 2018, and may be restated in future reports based on further analysis.  </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</si>
  <si>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May 15, 2018, and may be restated in future reports based on further analysis.  </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</si>
  <si>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May 15, 2018, and may be restated in future reports based on further analysis.  </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</si>
  <si>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May 15, 2018, and may be restated in future reports based on further analysis. </t>
  </si>
  <si>
    <t>5) Children's Basic Health Plan Expenditures for February 2018 were artificially high due to multiple system issues, causing the year-to-date expenditure to appear inflated. In April 2018, Children's Basic Health Plan Expenditures are artificially low due to recoupment of dollars to correct for the system issues in February 2018.</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</si>
  <si>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May 15, 2018, and may be restated in future reports based on further analysis. </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</si>
  <si>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May 15, 2018, and may be restated in future reports based on further analysis.  </t>
  </si>
  <si>
    <t>2) The FY 2017-18 Year-to-Date Appropriation includes HB 18-1322 (Long Bill Add-on).</t>
  </si>
  <si>
    <t>FY 2017-18 Long Bill Add-on Appropriation (HB 18-1322)</t>
  </si>
  <si>
    <t>2) FY 2017-18 Year-to-Date Appropriation includes HB 18-1322 (Long Bill Add-on) and SB 17-267 (FY 2017-18 Sustainability of Rural Colorado Special Bill).</t>
  </si>
  <si>
    <t>1) FY 2017-18 Year-to-Date Appropriation includes HB 18-1322 (Long Bill Add-on) and SB 17-267 (FY 2017-18 Sustainability of Rural Colorado Special Bill).</t>
  </si>
  <si>
    <t>4) FY 2017-18 Year-to-Date Appropriation includes HB 18-1322 (Long Bill Add-on).</t>
  </si>
  <si>
    <t>4)  FY 2017-18 Year-to-Date Appropriation includes HB 18-1322 (Long Bill Add-on).</t>
  </si>
  <si>
    <t xml:space="preserve">4) State Only Programs are part of the Targeted Case Management appropriation and do not have a stand alone appropriation. The appropriation listed here matches the contract amount for each program. </t>
  </si>
  <si>
    <t>5) The Department processed significantly more claims for Regional Center HCBS-DD clients in November. The Department believes that these claims were submitted to reconcile unpaid claims that were rejected due to systems issue with the Departments new interchange claim processing system that went live in March 2017.</t>
  </si>
  <si>
    <t xml:space="preserve">6)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May 15, 2018, and may be restated in future reports based on further analysis.  </t>
  </si>
  <si>
    <t>8) The Department had been unable to retrieve a reliable count of HCBS-DD Regional Center enrollments until April 2018. March Regional Center enrollment was updated to reflect newly available data.</t>
  </si>
  <si>
    <t>7) HCBS-DD Enrollment in previous reports this year had included the count of HCBS-DD Regional Center enrollments.  In the May 2018 Report the Department has restated past HCBS-DD enrollment to remove the presence of Regional Center HCBS-DD enrollments.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</si>
</sst>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
    <numFmt numFmtId="167" formatCode="&quot;$&quot;#,##0"/>
    <numFmt numFmtId="168" formatCode="0.00_)"/>
    <numFmt numFmtId="169" formatCode="mmmm\ yyyy"/>
    <numFmt numFmtId="170" formatCode="[$-409]mmmm\ yyyy;@"/>
    <numFmt numFmtId="171" formatCode="mmm\ yyyy"/>
    <numFmt numFmtId="172" formatCode="#,##0;\(#,##0\)"/>
    <numFmt numFmtId="173" formatCode="[$-409]mmm\-yy;@"/>
    <numFmt numFmtId="174" formatCode="#,###;\(#,###\)"/>
    <numFmt numFmtId="176" formatCode=";;;"/>
    <numFmt numFmtId="177" formatCode="0.0000%"/>
    <numFmt numFmtId="178" formatCode="mmmm\_x000a_yyyy"/>
    <numFmt numFmtId="179" formatCode="#,##0.00;\(#,##0.00\);0.00"/>
    <numFmt numFmtId="180" formatCode="&quot;$&quot;#,##0.0000_);\(&quot;$&quot;#,##0.0000\)"/>
    <numFmt numFmtId="182" formatCode="[$-409]mmmm\ d\,\ yyyy;@"/>
  </numFmts>
  <fonts count="94" x14ac:knownFonts="1">
    <font>
      <sz val="10"/>
      <name val="Arial"/>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u/>
      <sz val="10"/>
      <color theme="10"/>
      <name val="Arial"/>
      <family val="2"/>
    </font>
    <font>
      <sz val="9"/>
      <color indexed="81"/>
      <name val="Tahoma"/>
      <family val="2"/>
    </font>
    <font>
      <b/>
      <sz val="9"/>
      <color indexed="81"/>
      <name val="Tahoma"/>
      <family val="2"/>
    </font>
    <font>
      <sz val="12"/>
      <color theme="1"/>
      <name val="Times New Roman"/>
      <family val="1"/>
    </font>
    <font>
      <u/>
      <sz val="12"/>
      <color theme="10"/>
      <name val="Times New Roman"/>
      <family val="1"/>
    </font>
    <font>
      <sz val="12"/>
      <color rgb="FFFF0000"/>
      <name val="Times New Roman"/>
      <family val="1"/>
    </font>
    <font>
      <u/>
      <sz val="12"/>
      <color theme="1"/>
      <name val="Times New Roman"/>
      <family val="1"/>
    </font>
    <font>
      <b/>
      <vertAlign val="superscript"/>
      <sz val="12"/>
      <name val="Times New Roman"/>
      <family val="1"/>
    </font>
    <font>
      <b/>
      <sz val="12"/>
      <color rgb="FFFF0000"/>
      <name val="Times New Roman"/>
      <family val="1"/>
    </font>
    <font>
      <vertAlign val="superscript"/>
      <sz val="12"/>
      <name val="Times New Roman"/>
      <family val="1"/>
    </font>
    <font>
      <b/>
      <sz val="12"/>
      <color theme="1"/>
      <name val="Times New Roman"/>
      <family val="1"/>
    </font>
    <font>
      <sz val="10"/>
      <name val="Arial"/>
      <family val="2"/>
    </font>
    <font>
      <sz val="9"/>
      <color indexed="8"/>
      <name val="Arial"/>
      <family val="2"/>
    </font>
    <font>
      <i/>
      <sz val="12"/>
      <name val="Times New Roman"/>
      <family val="1"/>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b/>
      <sz val="10"/>
      <name val="Arial"/>
      <family val="2"/>
    </font>
    <font>
      <sz val="10"/>
      <name val="Arial"/>
      <family val="2"/>
    </font>
    <font>
      <b/>
      <sz val="14"/>
      <name val="Times New Roman"/>
      <family val="1"/>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s>
  <fills count="6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indexed="9"/>
        <bgColor indexed="9"/>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theme="0"/>
      </top>
      <bottom/>
      <diagonal/>
    </border>
    <border>
      <left/>
      <right/>
      <top/>
      <bottom style="thin">
        <color theme="0"/>
      </bottom>
      <diagonal/>
    </border>
    <border>
      <left/>
      <right/>
      <top style="thin">
        <color theme="0"/>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theme="0"/>
      </left>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theme="0"/>
      </bottom>
      <diagonal/>
    </border>
    <border>
      <left/>
      <right style="thin">
        <color indexed="64"/>
      </right>
      <top style="medium">
        <color indexed="64"/>
      </top>
      <bottom style="thin">
        <color theme="0"/>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bottom style="thin">
        <color theme="0"/>
      </bottom>
      <diagonal/>
    </border>
    <border>
      <left/>
      <right style="medium">
        <color indexed="64"/>
      </right>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2028">
    <xf numFmtId="0" fontId="0" fillId="0" borderId="0" applyFont="0"/>
    <xf numFmtId="172" fontId="9" fillId="0" borderId="0" applyFont="0" applyFill="0" applyBorder="0" applyAlignment="0" applyProtection="0"/>
    <xf numFmtId="174" fontId="9" fillId="0" borderId="0" applyFont="0" applyFill="0" applyBorder="0" applyAlignment="0" applyProtection="0"/>
    <xf numFmtId="3" fontId="10" fillId="0" borderId="0" applyFont="0" applyFill="0" applyBorder="0" applyAlignment="0" applyProtection="0">
      <alignment vertical="top"/>
    </xf>
    <xf numFmtId="5" fontId="9" fillId="0" borderId="0" applyFont="0" applyFill="0" applyBorder="0" applyAlignment="0" applyProtection="0"/>
    <xf numFmtId="5" fontId="10" fillId="0" borderId="0" applyFont="0" applyFill="0" applyBorder="0" applyAlignment="0" applyProtection="0">
      <alignment vertical="top"/>
    </xf>
    <xf numFmtId="0" fontId="10" fillId="0" borderId="0" applyFont="0" applyFill="0" applyBorder="0" applyAlignment="0" applyProtection="0">
      <alignment vertical="top"/>
    </xf>
    <xf numFmtId="2" fontId="10" fillId="0" borderId="0" applyFont="0" applyFill="0" applyBorder="0" applyAlignment="0" applyProtection="0">
      <alignment vertical="top"/>
    </xf>
    <xf numFmtId="38" fontId="11" fillId="2" borderId="0" applyNumberFormat="0" applyBorder="0" applyAlignment="0" applyProtection="0"/>
    <xf numFmtId="0" fontId="12" fillId="0" borderId="1" applyNumberFormat="0" applyAlignment="0" applyProtection="0">
      <alignment horizontal="left" vertical="center"/>
    </xf>
    <xf numFmtId="0" fontId="12" fillId="0" borderId="2">
      <alignment horizontal="left" vertical="center"/>
    </xf>
    <xf numFmtId="0" fontId="13" fillId="0" borderId="0" applyNumberFormat="0" applyFill="0" applyBorder="0" applyAlignment="0" applyProtection="0">
      <alignment vertical="top"/>
    </xf>
    <xf numFmtId="0" fontId="14" fillId="0" borderId="0" applyNumberFormat="0" applyFill="0" applyBorder="0" applyAlignment="0" applyProtection="0">
      <alignment vertical="top"/>
    </xf>
    <xf numFmtId="0" fontId="21" fillId="0" borderId="0" applyNumberFormat="0" applyFill="0" applyBorder="0" applyAlignment="0" applyProtection="0">
      <alignment vertical="top"/>
      <protection locked="0"/>
    </xf>
    <xf numFmtId="10" fontId="11" fillId="3" borderId="3" applyNumberFormat="0" applyBorder="0" applyAlignment="0" applyProtection="0"/>
    <xf numFmtId="168" fontId="15" fillId="0" borderId="0"/>
    <xf numFmtId="0" fontId="18" fillId="0" borderId="0"/>
    <xf numFmtId="0" fontId="9" fillId="0" borderId="0"/>
    <xf numFmtId="10" fontId="9" fillId="0" borderId="0" applyFont="0" applyFill="0" applyBorder="0" applyAlignment="0" applyProtection="0"/>
    <xf numFmtId="10" fontId="9" fillId="0" borderId="0" applyFont="0" applyFill="0" applyBorder="0" applyAlignment="0" applyProtection="0"/>
    <xf numFmtId="0" fontId="10" fillId="0" borderId="4" applyNumberFormat="0" applyFont="0" applyFill="0" applyAlignment="0" applyProtection="0">
      <alignment vertical="top"/>
    </xf>
    <xf numFmtId="0" fontId="8" fillId="0" borderId="0"/>
    <xf numFmtId="5" fontId="8" fillId="0" borderId="0" applyFont="0" applyFill="0" applyBorder="0" applyAlignment="0" applyProtection="0"/>
    <xf numFmtId="0" fontId="8" fillId="0" borderId="0"/>
    <xf numFmtId="0" fontId="8" fillId="0" borderId="0"/>
    <xf numFmtId="0" fontId="8" fillId="0" borderId="0"/>
    <xf numFmtId="0" fontId="8" fillId="0" borderId="0"/>
    <xf numFmtId="172" fontId="9" fillId="0" borderId="0" applyFont="0" applyFill="0" applyBorder="0" applyAlignment="0" applyProtection="0"/>
    <xf numFmtId="0" fontId="9" fillId="0" borderId="0"/>
    <xf numFmtId="0" fontId="9" fillId="0" borderId="0" applyFont="0"/>
    <xf numFmtId="0" fontId="7" fillId="0" borderId="0"/>
    <xf numFmtId="0" fontId="32" fillId="0" borderId="0"/>
    <xf numFmtId="43" fontId="9" fillId="0" borderId="0" applyFont="0" applyFill="0" applyBorder="0" applyAlignment="0" applyProtection="0"/>
    <xf numFmtId="3" fontId="9" fillId="0" borderId="0" applyFont="0" applyFill="0" applyBorder="0" applyAlignment="0" applyProtection="0">
      <alignment vertical="top"/>
    </xf>
    <xf numFmtId="5" fontId="9" fillId="0" borderId="0" applyFont="0" applyFill="0" applyBorder="0" applyAlignment="0" applyProtection="0">
      <alignment vertical="top"/>
    </xf>
    <xf numFmtId="0" fontId="9" fillId="0" borderId="0" applyFont="0" applyFill="0" applyBorder="0" applyAlignment="0" applyProtection="0">
      <alignment vertical="top"/>
    </xf>
    <xf numFmtId="2" fontId="9" fillId="0" borderId="0" applyFont="0" applyFill="0" applyBorder="0" applyAlignment="0" applyProtection="0">
      <alignment vertical="top"/>
    </xf>
    <xf numFmtId="0" fontId="9" fillId="0" borderId="4" applyNumberFormat="0" applyFont="0" applyFill="0" applyAlignment="0" applyProtection="0">
      <alignment vertical="top"/>
    </xf>
    <xf numFmtId="43" fontId="8" fillId="0" borderId="0" applyFont="0" applyFill="0" applyBorder="0" applyAlignment="0" applyProtection="0"/>
    <xf numFmtId="5" fontId="8" fillId="0" borderId="0" applyFont="0" applyFill="0" applyBorder="0" applyAlignment="0" applyProtection="0"/>
    <xf numFmtId="0" fontId="9" fillId="0" borderId="0"/>
    <xf numFmtId="43" fontId="9" fillId="0" borderId="0" applyFont="0" applyFill="0" applyBorder="0" applyAlignment="0" applyProtection="0"/>
    <xf numFmtId="3" fontId="9" fillId="0" borderId="0" applyFont="0" applyFill="0" applyBorder="0" applyAlignment="0" applyProtection="0">
      <alignment vertical="top"/>
    </xf>
    <xf numFmtId="5" fontId="9" fillId="0" borderId="0" applyFont="0" applyFill="0" applyBorder="0" applyAlignment="0" applyProtection="0"/>
    <xf numFmtId="5" fontId="9" fillId="0" borderId="0" applyFont="0" applyFill="0" applyBorder="0" applyAlignment="0" applyProtection="0">
      <alignment vertical="top"/>
    </xf>
    <xf numFmtId="0" fontId="9" fillId="0" borderId="0" applyFont="0" applyFill="0" applyBorder="0" applyAlignment="0" applyProtection="0">
      <alignment vertical="top"/>
    </xf>
    <xf numFmtId="2" fontId="9" fillId="0" borderId="0" applyFont="0" applyFill="0" applyBorder="0" applyAlignment="0" applyProtection="0">
      <alignment vertical="top"/>
    </xf>
    <xf numFmtId="38" fontId="11" fillId="2" borderId="0" applyNumberFormat="0" applyBorder="0" applyAlignment="0" applyProtection="0"/>
    <xf numFmtId="0" fontId="13" fillId="0" borderId="0" applyNumberFormat="0" applyFill="0" applyBorder="0" applyAlignment="0" applyProtection="0">
      <alignment vertical="top"/>
    </xf>
    <xf numFmtId="0" fontId="14" fillId="0" borderId="0" applyNumberFormat="0" applyFill="0" applyBorder="0" applyAlignment="0" applyProtection="0">
      <alignment vertical="top"/>
    </xf>
    <xf numFmtId="10" fontId="11" fillId="3" borderId="3" applyNumberFormat="0" applyBorder="0" applyAlignment="0" applyProtection="0"/>
    <xf numFmtId="10" fontId="9" fillId="0" borderId="0" applyFont="0" applyFill="0" applyBorder="0" applyAlignment="0" applyProtection="0"/>
    <xf numFmtId="0" fontId="32" fillId="0" borderId="0"/>
    <xf numFmtId="0" fontId="9" fillId="0" borderId="4" applyNumberFormat="0" applyFont="0" applyFill="0" applyAlignment="0" applyProtection="0">
      <alignment vertical="top"/>
    </xf>
    <xf numFmtId="0" fontId="9" fillId="0" borderId="0"/>
    <xf numFmtId="10" fontId="9" fillId="0" borderId="0" applyFont="0" applyFill="0" applyBorder="0" applyAlignment="0" applyProtection="0"/>
    <xf numFmtId="0" fontId="8" fillId="0" borderId="0"/>
    <xf numFmtId="0" fontId="8" fillId="0" borderId="0"/>
    <xf numFmtId="5" fontId="8" fillId="0" borderId="0" applyFont="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8" fillId="0" borderId="0"/>
    <xf numFmtId="43" fontId="9" fillId="0" borderId="0" applyFont="0" applyFill="0" applyBorder="0" applyAlignment="0" applyProtection="0"/>
    <xf numFmtId="9" fontId="8" fillId="0" borderId="0" applyFont="0" applyFill="0" applyBorder="0" applyAlignment="0" applyProtection="0"/>
    <xf numFmtId="0" fontId="4" fillId="0" borderId="0"/>
    <xf numFmtId="0" fontId="8" fillId="0" borderId="0"/>
    <xf numFmtId="9" fontId="8" fillId="0" borderId="0" applyFont="0" applyFill="0" applyBorder="0" applyAlignment="0" applyProtection="0"/>
    <xf numFmtId="0" fontId="3" fillId="0" borderId="0"/>
    <xf numFmtId="0" fontId="36" fillId="0" borderId="0"/>
    <xf numFmtId="0" fontId="37" fillId="9" borderId="0"/>
    <xf numFmtId="0" fontId="38" fillId="0" borderId="0"/>
    <xf numFmtId="0" fontId="39" fillId="9" borderId="0"/>
    <xf numFmtId="0" fontId="37" fillId="9" borderId="0"/>
    <xf numFmtId="0" fontId="40" fillId="0" borderId="0"/>
    <xf numFmtId="0" fontId="40"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6" fillId="0" borderId="0"/>
    <xf numFmtId="0" fontId="38" fillId="0" borderId="0"/>
    <xf numFmtId="0" fontId="39" fillId="9" borderId="0"/>
    <xf numFmtId="0" fontId="41" fillId="0" borderId="0" applyNumberFormat="0" applyFill="0" applyBorder="0" applyAlignment="0" applyProtection="0"/>
    <xf numFmtId="0" fontId="42" fillId="0" borderId="122" applyNumberFormat="0" applyFill="0" applyAlignment="0" applyProtection="0"/>
    <xf numFmtId="0" fontId="42" fillId="0" borderId="0" applyNumberFormat="0" applyFill="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6" fillId="13" borderId="123" applyNumberFormat="0" applyAlignment="0" applyProtection="0"/>
    <xf numFmtId="0" fontId="47" fillId="14" borderId="124" applyNumberFormat="0" applyAlignment="0" applyProtection="0"/>
    <xf numFmtId="0" fontId="48" fillId="14" borderId="123" applyNumberFormat="0" applyAlignment="0" applyProtection="0"/>
    <xf numFmtId="0" fontId="49" fillId="0" borderId="125" applyNumberFormat="0" applyFill="0" applyAlignment="0" applyProtection="0"/>
    <xf numFmtId="0" fontId="50" fillId="15" borderId="12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5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5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5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53"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53"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54" fillId="0" borderId="129" applyNumberFormat="0" applyFill="0" applyAlignment="0" applyProtection="0"/>
    <xf numFmtId="0" fontId="55" fillId="0" borderId="130" applyNumberFormat="0" applyFill="0" applyAlignment="0" applyProtection="0"/>
    <xf numFmtId="0" fontId="2" fillId="0" borderId="0"/>
    <xf numFmtId="0" fontId="2" fillId="16" borderId="127" applyNumberFormat="0" applyFont="0" applyAlignment="0" applyProtection="0"/>
    <xf numFmtId="0" fontId="56" fillId="0" borderId="131" applyNumberFormat="0" applyFill="0" applyAlignment="0" applyProtection="0"/>
    <xf numFmtId="0" fontId="2" fillId="0" borderId="0"/>
    <xf numFmtId="0" fontId="2" fillId="0" borderId="0"/>
    <xf numFmtId="0" fontId="58" fillId="0" borderId="0"/>
    <xf numFmtId="0" fontId="58" fillId="0" borderId="0"/>
    <xf numFmtId="0" fontId="60" fillId="0" borderId="0"/>
    <xf numFmtId="0" fontId="60" fillId="0" borderId="0"/>
    <xf numFmtId="0" fontId="60" fillId="0" borderId="0"/>
    <xf numFmtId="0" fontId="1" fillId="0" borderId="0"/>
    <xf numFmtId="0" fontId="61" fillId="41" borderId="0" applyNumberFormat="0" applyBorder="0" applyAlignment="0" applyProtection="0"/>
    <xf numFmtId="0" fontId="61" fillId="42" borderId="0" applyNumberFormat="0" applyBorder="0" applyAlignment="0" applyProtection="0"/>
    <xf numFmtId="0" fontId="61" fillId="43" borderId="0" applyNumberFormat="0" applyBorder="0" applyAlignment="0" applyProtection="0"/>
    <xf numFmtId="0" fontId="61" fillId="44" borderId="0" applyNumberFormat="0" applyBorder="0" applyAlignment="0" applyProtection="0"/>
    <xf numFmtId="0" fontId="61" fillId="45"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61" fillId="48" borderId="0" applyNumberFormat="0" applyBorder="0" applyAlignment="0" applyProtection="0"/>
    <xf numFmtId="0" fontId="61" fillId="49" borderId="0" applyNumberFormat="0" applyBorder="0" applyAlignment="0" applyProtection="0"/>
    <xf numFmtId="0" fontId="61" fillId="44" borderId="0" applyNumberFormat="0" applyBorder="0" applyAlignment="0" applyProtection="0"/>
    <xf numFmtId="0" fontId="61" fillId="47" borderId="0" applyNumberFormat="0" applyBorder="0" applyAlignment="0" applyProtection="0"/>
    <xf numFmtId="0" fontId="61" fillId="50"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54" borderId="0" applyNumberFormat="0" applyBorder="0" applyAlignment="0" applyProtection="0"/>
    <xf numFmtId="0" fontId="62" fillId="55" borderId="0" applyNumberFormat="0" applyBorder="0" applyAlignment="0" applyProtection="0"/>
    <xf numFmtId="0" fontId="62" fillId="56" borderId="0" applyNumberFormat="0" applyBorder="0" applyAlignment="0" applyProtection="0"/>
    <xf numFmtId="0" fontId="62" fillId="57"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58" borderId="0" applyNumberFormat="0" applyBorder="0" applyAlignment="0" applyProtection="0"/>
    <xf numFmtId="0" fontId="63" fillId="42" borderId="0" applyNumberFormat="0" applyBorder="0" applyAlignment="0" applyProtection="0"/>
    <xf numFmtId="0" fontId="64" fillId="59" borderId="132" applyNumberFormat="0" applyAlignment="0" applyProtection="0"/>
    <xf numFmtId="0" fontId="65" fillId="60" borderId="133" applyNumberFormat="0" applyAlignment="0" applyProtection="0"/>
    <xf numFmtId="0" fontId="64" fillId="59" borderId="154" applyNumberFormat="0" applyAlignment="0" applyProtection="0"/>
    <xf numFmtId="44" fontId="9" fillId="0" borderId="0" applyFont="0" applyFill="0" applyBorder="0" applyAlignment="0" applyProtection="0"/>
    <xf numFmtId="0" fontId="66" fillId="0" borderId="0" applyNumberFormat="0" applyFill="0" applyBorder="0" applyAlignment="0" applyProtection="0"/>
    <xf numFmtId="0" fontId="67" fillId="43" borderId="0" applyNumberFormat="0" applyBorder="0" applyAlignment="0" applyProtection="0"/>
    <xf numFmtId="0" fontId="68" fillId="0" borderId="134" applyNumberFormat="0" applyFill="0" applyAlignment="0" applyProtection="0"/>
    <xf numFmtId="0" fontId="69" fillId="0" borderId="135" applyNumberFormat="0" applyFill="0" applyAlignment="0" applyProtection="0"/>
    <xf numFmtId="0" fontId="70" fillId="0" borderId="136" applyNumberFormat="0" applyFill="0" applyAlignment="0" applyProtection="0"/>
    <xf numFmtId="0" fontId="70" fillId="0" borderId="0" applyNumberFormat="0" applyFill="0" applyBorder="0" applyAlignment="0" applyProtection="0"/>
    <xf numFmtId="0" fontId="71" fillId="46" borderId="132" applyNumberFormat="0" applyAlignment="0" applyProtection="0"/>
    <xf numFmtId="0" fontId="72" fillId="0" borderId="137" applyNumberFormat="0" applyFill="0" applyAlignment="0" applyProtection="0"/>
    <xf numFmtId="0" fontId="73" fillId="61" borderId="0" applyNumberFormat="0" applyBorder="0" applyAlignment="0" applyProtection="0"/>
    <xf numFmtId="0" fontId="2" fillId="0" borderId="0"/>
    <xf numFmtId="0" fontId="9" fillId="0" borderId="0"/>
    <xf numFmtId="0" fontId="2" fillId="0" borderId="0"/>
    <xf numFmtId="0" fontId="11" fillId="62" borderId="138" applyNumberFormat="0" applyFont="0" applyAlignment="0" applyProtection="0"/>
    <xf numFmtId="0" fontId="74" fillId="59" borderId="139" applyNumberFormat="0" applyAlignment="0" applyProtection="0"/>
    <xf numFmtId="9" fontId="9" fillId="0" borderId="0" applyFont="0" applyFill="0" applyBorder="0" applyAlignment="0" applyProtection="0"/>
    <xf numFmtId="0" fontId="75" fillId="0" borderId="0" applyNumberFormat="0" applyFill="0" applyBorder="0" applyAlignment="0" applyProtection="0"/>
    <xf numFmtId="0" fontId="76" fillId="0" borderId="140" applyNumberFormat="0" applyFill="0" applyAlignment="0" applyProtection="0"/>
    <xf numFmtId="0" fontId="77" fillId="0" borderId="0" applyNumberFormat="0" applyFill="0" applyBorder="0" applyAlignment="0" applyProtection="0"/>
    <xf numFmtId="0" fontId="1" fillId="0" borderId="0"/>
    <xf numFmtId="0" fontId="87" fillId="46" borderId="189" applyNumberFormat="0" applyAlignment="0" applyProtection="0"/>
    <xf numFmtId="43" fontId="9" fillId="0" borderId="0" applyFont="0" applyFill="0" applyBorder="0" applyAlignment="0" applyProtection="0"/>
    <xf numFmtId="43" fontId="2" fillId="0" borderId="0" applyFont="0" applyFill="0" applyBorder="0" applyAlignment="0" applyProtection="0"/>
    <xf numFmtId="0" fontId="9" fillId="62" borderId="179" applyNumberFormat="0" applyFont="0" applyAlignment="0" applyProtection="0"/>
    <xf numFmtId="5" fontId="2" fillId="0" borderId="0" applyFont="0" applyFill="0" applyBorder="0" applyAlignment="0" applyProtection="0"/>
    <xf numFmtId="5" fontId="2" fillId="0" borderId="0" applyFont="0" applyFill="0" applyBorder="0" applyAlignment="0" applyProtection="0"/>
    <xf numFmtId="0" fontId="81" fillId="59" borderId="177" applyNumberFormat="0" applyAlignment="0" applyProtection="0"/>
    <xf numFmtId="0" fontId="64" fillId="59" borderId="196" applyNumberFormat="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10" fontId="2" fillId="0" borderId="0" applyFont="0" applyFill="0" applyBorder="0" applyAlignment="0" applyProtection="0"/>
    <xf numFmtId="5" fontId="60" fillId="0" borderId="0" applyFont="0" applyFill="0" applyBorder="0" applyAlignment="0" applyProtection="0"/>
    <xf numFmtId="10" fontId="60" fillId="0" borderId="0" applyFont="0" applyFill="0" applyBorder="0" applyAlignment="0" applyProtection="0"/>
    <xf numFmtId="0" fontId="1" fillId="0" borderId="0"/>
    <xf numFmtId="0" fontId="9" fillId="0" borderId="0"/>
    <xf numFmtId="0" fontId="1" fillId="0" borderId="0"/>
    <xf numFmtId="10" fontId="1" fillId="0" borderId="0" applyFont="0" applyFill="0" applyBorder="0" applyAlignment="0" applyProtection="0"/>
    <xf numFmtId="0" fontId="19" fillId="0" borderId="0"/>
    <xf numFmtId="5" fontId="2" fillId="0" borderId="0" applyFont="0" applyFill="0" applyBorder="0" applyAlignment="0" applyProtection="0"/>
    <xf numFmtId="10"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2" fillId="60" borderId="133" applyNumberFormat="0" applyAlignment="0" applyProtection="0"/>
    <xf numFmtId="0" fontId="82" fillId="60" borderId="133" applyNumberFormat="0" applyAlignment="0" applyProtection="0"/>
    <xf numFmtId="0" fontId="82" fillId="60" borderId="133" applyNumberFormat="0" applyAlignment="0" applyProtection="0"/>
    <xf numFmtId="0" fontId="82" fillId="60" borderId="133" applyNumberFormat="0" applyAlignment="0" applyProtection="0"/>
    <xf numFmtId="0" fontId="82" fillId="60" borderId="133" applyNumberFormat="0" applyAlignment="0" applyProtection="0"/>
    <xf numFmtId="0" fontId="82" fillId="60" borderId="133" applyNumberFormat="0" applyAlignment="0" applyProtection="0"/>
    <xf numFmtId="0" fontId="82" fillId="60" borderId="133" applyNumberFormat="0" applyAlignment="0" applyProtection="0"/>
    <xf numFmtId="0" fontId="82" fillId="60" borderId="133" applyNumberFormat="0" applyAlignment="0" applyProtection="0"/>
    <xf numFmtId="0" fontId="82" fillId="60" borderId="133" applyNumberFormat="0" applyAlignment="0" applyProtection="0"/>
    <xf numFmtId="0" fontId="82" fillId="60" borderId="133" applyNumberFormat="0" applyAlignment="0" applyProtection="0"/>
    <xf numFmtId="0" fontId="82" fillId="60" borderId="133" applyNumberFormat="0" applyAlignment="0" applyProtection="0"/>
    <xf numFmtId="0" fontId="82" fillId="60" borderId="133" applyNumberFormat="0" applyAlignment="0" applyProtection="0"/>
    <xf numFmtId="0" fontId="82" fillId="60" borderId="133" applyNumberFormat="0" applyAlignment="0" applyProtection="0"/>
    <xf numFmtId="0" fontId="82" fillId="60" borderId="133" applyNumberFormat="0" applyAlignment="0" applyProtection="0"/>
    <xf numFmtId="0" fontId="82" fillId="60" borderId="133" applyNumberFormat="0" applyAlignment="0" applyProtection="0"/>
    <xf numFmtId="0" fontId="82" fillId="60" borderId="133" applyNumberFormat="0" applyAlignment="0" applyProtection="0"/>
    <xf numFmtId="0" fontId="82" fillId="60" borderId="133" applyNumberFormat="0" applyAlignment="0" applyProtection="0"/>
    <xf numFmtId="7" fontId="16" fillId="0" borderId="0"/>
    <xf numFmtId="7" fontId="16" fillId="0" borderId="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3" fontId="16" fillId="0" borderId="0" applyFont="0" applyFill="0" applyBorder="0" applyAlignment="0" applyProtection="0"/>
    <xf numFmtId="0" fontId="90" fillId="59" borderId="180" applyNumberFormat="0" applyAlignment="0" applyProtection="0"/>
    <xf numFmtId="3" fontId="16" fillId="0" borderId="0" applyFont="0" applyFill="0" applyBorder="0" applyAlignment="0" applyProtection="0"/>
    <xf numFmtId="3" fontId="9" fillId="0" borderId="0" applyFont="0" applyFill="0" applyBorder="0" applyAlignment="0" applyProtection="0">
      <alignment vertical="top"/>
    </xf>
    <xf numFmtId="3" fontId="9" fillId="0" borderId="0" applyFont="0" applyFill="0" applyBorder="0" applyAlignment="0" applyProtection="0">
      <alignment vertical="top"/>
    </xf>
    <xf numFmtId="3" fontId="9" fillId="0" borderId="0" applyFont="0" applyFill="0" applyBorder="0" applyAlignment="0" applyProtection="0">
      <alignment vertical="top"/>
    </xf>
    <xf numFmtId="3" fontId="9" fillId="0" borderId="0" applyFont="0" applyFill="0" applyBorder="0" applyAlignment="0" applyProtection="0">
      <alignment vertical="top"/>
    </xf>
    <xf numFmtId="3" fontId="9" fillId="0" borderId="0" applyFont="0" applyFill="0" applyBorder="0" applyAlignment="0" applyProtection="0">
      <alignment vertical="top"/>
    </xf>
    <xf numFmtId="3" fontId="9" fillId="0" borderId="0" applyFont="0" applyFill="0" applyBorder="0" applyAlignment="0" applyProtection="0">
      <alignment vertical="top"/>
    </xf>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44" fontId="9" fillId="0" borderId="0" applyFont="0" applyFill="0" applyBorder="0" applyAlignment="0" applyProtection="0"/>
    <xf numFmtId="44" fontId="61" fillId="0" borderId="0"/>
    <xf numFmtId="5" fontId="2"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5" fontId="1"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5" fontId="9"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0" fontId="16" fillId="0" borderId="0" applyFont="0" applyFill="0" applyBorder="0" applyAlignment="0" applyProtection="0"/>
    <xf numFmtId="0" fontId="11" fillId="62" borderId="191" applyNumberFormat="0" applyFont="0" applyAlignment="0" applyProtection="0"/>
    <xf numFmtId="0" fontId="16" fillId="0" borderId="0" applyFont="0" applyFill="0" applyBorder="0" applyAlignment="0" applyProtection="0"/>
    <xf numFmtId="5" fontId="9" fillId="0" borderId="0" applyFont="0" applyFill="0" applyBorder="0" applyAlignment="0" applyProtection="0">
      <alignment vertical="top"/>
    </xf>
    <xf numFmtId="5" fontId="9" fillId="0" borderId="0" applyFont="0" applyFill="0" applyBorder="0" applyAlignment="0" applyProtection="0">
      <alignment vertical="top"/>
    </xf>
    <xf numFmtId="5" fontId="9" fillId="0" borderId="0" applyFont="0" applyFill="0" applyBorder="0" applyAlignment="0" applyProtection="0">
      <alignment vertical="top"/>
    </xf>
    <xf numFmtId="5" fontId="9" fillId="0" borderId="0" applyFont="0" applyFill="0" applyBorder="0" applyAlignment="0" applyProtection="0">
      <alignment vertical="top"/>
    </xf>
    <xf numFmtId="5" fontId="9" fillId="0" borderId="0" applyFont="0" applyFill="0" applyBorder="0" applyAlignment="0" applyProtection="0">
      <alignment vertical="top"/>
    </xf>
    <xf numFmtId="5" fontId="9" fillId="0" borderId="0" applyFont="0" applyFill="0" applyBorder="0" applyAlignment="0" applyProtection="0">
      <alignment vertical="top"/>
    </xf>
    <xf numFmtId="5" fontId="9" fillId="0" borderId="0" applyFont="0" applyFill="0" applyBorder="0" applyAlignment="0" applyProtection="0">
      <alignment vertical="top"/>
    </xf>
    <xf numFmtId="0" fontId="9" fillId="0" borderId="0" applyFont="0" applyFill="0" applyBorder="0" applyAlignment="0" applyProtection="0">
      <alignment vertical="top"/>
    </xf>
    <xf numFmtId="0" fontId="9" fillId="0" borderId="0" applyFont="0" applyFill="0" applyBorder="0" applyAlignment="0" applyProtection="0">
      <alignment vertical="top"/>
    </xf>
    <xf numFmtId="0" fontId="9" fillId="0" borderId="0" applyFont="0" applyFill="0" applyBorder="0" applyAlignment="0" applyProtection="0">
      <alignment vertical="top"/>
    </xf>
    <xf numFmtId="0" fontId="9" fillId="0" borderId="0" applyFont="0" applyFill="0" applyBorder="0" applyAlignment="0" applyProtection="0">
      <alignment vertical="top"/>
    </xf>
    <xf numFmtId="0" fontId="9" fillId="0" borderId="0" applyFont="0" applyFill="0" applyBorder="0" applyAlignment="0" applyProtection="0">
      <alignment vertical="top"/>
    </xf>
    <xf numFmtId="0" fontId="9" fillId="0" borderId="0" applyFont="0" applyFill="0" applyBorder="0" applyAlignment="0" applyProtection="0">
      <alignment vertical="top"/>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2" fillId="0" borderId="182">
      <alignment horizontal="left" vertical="center"/>
    </xf>
    <xf numFmtId="0" fontId="87" fillId="46" borderId="177" applyNumberFormat="0" applyAlignment="0" applyProtection="0"/>
    <xf numFmtId="2" fontId="9" fillId="0" borderId="0" applyFont="0" applyFill="0" applyBorder="0" applyAlignment="0" applyProtection="0">
      <alignment vertical="top"/>
    </xf>
    <xf numFmtId="2" fontId="9" fillId="0" borderId="0" applyFont="0" applyFill="0" applyBorder="0" applyAlignment="0" applyProtection="0">
      <alignment vertical="top"/>
    </xf>
    <xf numFmtId="2" fontId="9" fillId="0" borderId="0" applyFont="0" applyFill="0" applyBorder="0" applyAlignment="0" applyProtection="0">
      <alignment vertical="top"/>
    </xf>
    <xf numFmtId="2" fontId="9" fillId="0" borderId="0" applyFont="0" applyFill="0" applyBorder="0" applyAlignment="0" applyProtection="0">
      <alignment vertical="top"/>
    </xf>
    <xf numFmtId="2" fontId="9" fillId="0" borderId="0" applyFont="0" applyFill="0" applyBorder="0" applyAlignment="0" applyProtection="0">
      <alignment vertical="top"/>
    </xf>
    <xf numFmtId="2" fontId="9" fillId="0" borderId="0" applyFont="0" applyFill="0" applyBorder="0" applyAlignment="0" applyProtection="0">
      <alignment vertical="top"/>
    </xf>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7" fillId="46" borderId="189" applyNumberFormat="0" applyAlignment="0" applyProtection="0"/>
    <xf numFmtId="0" fontId="9" fillId="62" borderId="179" applyNumberFormat="0" applyFont="0" applyAlignment="0" applyProtection="0"/>
    <xf numFmtId="0" fontId="12" fillId="0" borderId="1" applyNumberFormat="0" applyAlignment="0" applyProtection="0">
      <alignment horizontal="left" vertical="center"/>
    </xf>
    <xf numFmtId="0" fontId="12" fillId="0" borderId="1" applyNumberFormat="0" applyAlignment="0" applyProtection="0">
      <alignment horizontal="left" vertical="center"/>
    </xf>
    <xf numFmtId="0" fontId="12" fillId="0" borderId="1" applyNumberFormat="0" applyAlignment="0" applyProtection="0">
      <alignment horizontal="left" vertical="center"/>
    </xf>
    <xf numFmtId="0" fontId="12" fillId="0" borderId="1" applyNumberFormat="0" applyAlignment="0" applyProtection="0">
      <alignment horizontal="left" vertical="center"/>
    </xf>
    <xf numFmtId="0" fontId="12" fillId="0" borderId="1" applyNumberFormat="0" applyAlignment="0" applyProtection="0">
      <alignment horizontal="left" vertical="center"/>
    </xf>
    <xf numFmtId="0" fontId="12" fillId="0" borderId="1" applyNumberFormat="0" applyAlignment="0" applyProtection="0">
      <alignment horizontal="left" vertical="center"/>
    </xf>
    <xf numFmtId="0" fontId="12" fillId="0" borderId="1" applyNumberFormat="0" applyAlignment="0" applyProtection="0">
      <alignment horizontal="left" vertical="center"/>
    </xf>
    <xf numFmtId="0" fontId="12" fillId="0" borderId="1" applyNumberFormat="0" applyAlignment="0" applyProtection="0">
      <alignment horizontal="left" vertical="center"/>
    </xf>
    <xf numFmtId="0" fontId="90" fillId="59" borderId="180" applyNumberFormat="0" applyAlignment="0" applyProtection="0"/>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3" fillId="0" borderId="0" applyNumberFormat="0" applyFill="0" applyBorder="0" applyAlignment="0" applyProtection="0">
      <alignment vertical="top"/>
    </xf>
    <xf numFmtId="0" fontId="13" fillId="0" borderId="0" applyNumberFormat="0" applyFill="0" applyBorder="0" applyAlignment="0" applyProtection="0">
      <alignment vertical="top"/>
    </xf>
    <xf numFmtId="0" fontId="13" fillId="0" borderId="0" applyNumberFormat="0" applyFill="0" applyBorder="0" applyAlignment="0" applyProtection="0">
      <alignment vertical="top"/>
    </xf>
    <xf numFmtId="0" fontId="13" fillId="0" borderId="0" applyNumberFormat="0" applyFill="0" applyBorder="0" applyAlignment="0" applyProtection="0">
      <alignment vertical="top"/>
    </xf>
    <xf numFmtId="0" fontId="13" fillId="0" borderId="0" applyNumberFormat="0" applyFill="0" applyBorder="0" applyAlignment="0" applyProtection="0">
      <alignment vertical="top"/>
    </xf>
    <xf numFmtId="0" fontId="13" fillId="0" borderId="0" applyNumberFormat="0" applyFill="0" applyBorder="0" applyAlignment="0" applyProtection="0">
      <alignment vertical="top"/>
    </xf>
    <xf numFmtId="0" fontId="13" fillId="0" borderId="0" applyNumberFormat="0" applyFill="0" applyBorder="0" applyAlignment="0" applyProtection="0">
      <alignment vertical="top"/>
    </xf>
    <xf numFmtId="0" fontId="13" fillId="0" borderId="0" applyNumberFormat="0" applyFill="0" applyBorder="0" applyAlignment="0" applyProtection="0">
      <alignment vertical="top"/>
    </xf>
    <xf numFmtId="0" fontId="13" fillId="0" borderId="0" applyNumberFormat="0" applyFill="0" applyBorder="0" applyAlignment="0" applyProtection="0">
      <alignment vertical="top"/>
    </xf>
    <xf numFmtId="0" fontId="13" fillId="0" borderId="0" applyNumberFormat="0" applyFill="0" applyBorder="0" applyAlignment="0" applyProtection="0">
      <alignment vertical="top"/>
    </xf>
    <xf numFmtId="0" fontId="13" fillId="0" borderId="0" applyNumberFormat="0" applyFill="0" applyBorder="0" applyAlignment="0" applyProtection="0">
      <alignment vertical="top"/>
    </xf>
    <xf numFmtId="0" fontId="13" fillId="0" borderId="0" applyNumberFormat="0" applyFill="0" applyBorder="0" applyAlignment="0" applyProtection="0">
      <alignment vertical="top"/>
    </xf>
    <xf numFmtId="0" fontId="13" fillId="0" borderId="0" applyNumberFormat="0" applyFill="0" applyBorder="0" applyAlignment="0" applyProtection="0">
      <alignment vertical="top"/>
    </xf>
    <xf numFmtId="0" fontId="13" fillId="0" borderId="0" applyNumberFormat="0" applyFill="0" applyBorder="0" applyAlignment="0" applyProtection="0">
      <alignment vertical="top"/>
    </xf>
    <xf numFmtId="0" fontId="13" fillId="0" borderId="0" applyNumberFormat="0" applyFill="0" applyBorder="0" applyAlignment="0" applyProtection="0">
      <alignment vertical="top"/>
    </xf>
    <xf numFmtId="0" fontId="13" fillId="0" borderId="0" applyNumberFormat="0" applyFill="0" applyBorder="0" applyAlignment="0" applyProtection="0">
      <alignment vertical="top"/>
    </xf>
    <xf numFmtId="0" fontId="13" fillId="0" borderId="0" applyNumberFormat="0" applyFill="0" applyBorder="0" applyAlignment="0" applyProtection="0">
      <alignment vertical="top"/>
    </xf>
    <xf numFmtId="0" fontId="14" fillId="0" borderId="0" applyNumberFormat="0" applyFill="0" applyBorder="0" applyAlignment="0" applyProtection="0">
      <alignment vertical="top"/>
    </xf>
    <xf numFmtId="0" fontId="14" fillId="0" borderId="0" applyNumberFormat="0" applyFill="0" applyBorder="0" applyAlignment="0" applyProtection="0">
      <alignment vertical="top"/>
    </xf>
    <xf numFmtId="0" fontId="14" fillId="0" borderId="0" applyNumberFormat="0" applyFill="0" applyBorder="0" applyAlignment="0" applyProtection="0">
      <alignment vertical="top"/>
    </xf>
    <xf numFmtId="0" fontId="14" fillId="0" borderId="0" applyNumberFormat="0" applyFill="0" applyBorder="0" applyAlignment="0" applyProtection="0">
      <alignment vertical="top"/>
    </xf>
    <xf numFmtId="0" fontId="14" fillId="0" borderId="0" applyNumberFormat="0" applyFill="0" applyBorder="0" applyAlignment="0" applyProtection="0">
      <alignment vertical="top"/>
    </xf>
    <xf numFmtId="0" fontId="14" fillId="0" borderId="0" applyNumberFormat="0" applyFill="0" applyBorder="0" applyAlignment="0" applyProtection="0">
      <alignment vertical="top"/>
    </xf>
    <xf numFmtId="0" fontId="14" fillId="0" borderId="0" applyNumberFormat="0" applyFill="0" applyBorder="0" applyAlignment="0" applyProtection="0">
      <alignment vertical="top"/>
    </xf>
    <xf numFmtId="0" fontId="14" fillId="0" borderId="0" applyNumberFormat="0" applyFill="0" applyBorder="0" applyAlignment="0" applyProtection="0">
      <alignment vertical="top"/>
    </xf>
    <xf numFmtId="0" fontId="14" fillId="0" borderId="0" applyNumberFormat="0" applyFill="0" applyBorder="0" applyAlignment="0" applyProtection="0">
      <alignment vertical="top"/>
    </xf>
    <xf numFmtId="0" fontId="14" fillId="0" borderId="0" applyNumberFormat="0" applyFill="0" applyBorder="0" applyAlignment="0" applyProtection="0">
      <alignment vertical="top"/>
    </xf>
    <xf numFmtId="0" fontId="14" fillId="0" borderId="0" applyNumberFormat="0" applyFill="0" applyBorder="0" applyAlignment="0" applyProtection="0">
      <alignment vertical="top"/>
    </xf>
    <xf numFmtId="0" fontId="14" fillId="0" borderId="0" applyNumberFormat="0" applyFill="0" applyBorder="0" applyAlignment="0" applyProtection="0">
      <alignment vertical="top"/>
    </xf>
    <xf numFmtId="0" fontId="14" fillId="0" borderId="0" applyNumberFormat="0" applyFill="0" applyBorder="0" applyAlignment="0" applyProtection="0">
      <alignment vertical="top"/>
    </xf>
    <xf numFmtId="0" fontId="14" fillId="0" borderId="0" applyNumberFormat="0" applyFill="0" applyBorder="0" applyAlignment="0" applyProtection="0">
      <alignment vertical="top"/>
    </xf>
    <xf numFmtId="0" fontId="14" fillId="0" borderId="0" applyNumberFormat="0" applyFill="0" applyBorder="0" applyAlignment="0" applyProtection="0">
      <alignment vertical="top"/>
    </xf>
    <xf numFmtId="0" fontId="14" fillId="0" borderId="0" applyNumberFormat="0" applyFill="0" applyBorder="0" applyAlignment="0" applyProtection="0">
      <alignment vertical="top"/>
    </xf>
    <xf numFmtId="0" fontId="14" fillId="0" borderId="0" applyNumberFormat="0" applyFill="0" applyBorder="0" applyAlignment="0" applyProtection="0">
      <alignment vertical="top"/>
    </xf>
    <xf numFmtId="0" fontId="85" fillId="0" borderId="136" applyNumberFormat="0" applyFill="0" applyAlignment="0" applyProtection="0"/>
    <xf numFmtId="0" fontId="85" fillId="0" borderId="136" applyNumberFormat="0" applyFill="0" applyAlignment="0" applyProtection="0"/>
    <xf numFmtId="0" fontId="85" fillId="0" borderId="136" applyNumberFormat="0" applyFill="0" applyAlignment="0" applyProtection="0"/>
    <xf numFmtId="0" fontId="85" fillId="0" borderId="136" applyNumberFormat="0" applyFill="0" applyAlignment="0" applyProtection="0"/>
    <xf numFmtId="0" fontId="85" fillId="0" borderId="136" applyNumberFormat="0" applyFill="0" applyAlignment="0" applyProtection="0"/>
    <xf numFmtId="0" fontId="85" fillId="0" borderId="136" applyNumberFormat="0" applyFill="0" applyAlignment="0" applyProtection="0"/>
    <xf numFmtId="0" fontId="85" fillId="0" borderId="136" applyNumberFormat="0" applyFill="0" applyAlignment="0" applyProtection="0"/>
    <xf numFmtId="0" fontId="85" fillId="0" borderId="136" applyNumberFormat="0" applyFill="0" applyAlignment="0" applyProtection="0"/>
    <xf numFmtId="0" fontId="85" fillId="0" borderId="136" applyNumberFormat="0" applyFill="0" applyAlignment="0" applyProtection="0"/>
    <xf numFmtId="0" fontId="85" fillId="0" borderId="136" applyNumberFormat="0" applyFill="0" applyAlignment="0" applyProtection="0"/>
    <xf numFmtId="0" fontId="85" fillId="0" borderId="136" applyNumberFormat="0" applyFill="0" applyAlignment="0" applyProtection="0"/>
    <xf numFmtId="0" fontId="85" fillId="0" borderId="136" applyNumberFormat="0" applyFill="0" applyAlignment="0" applyProtection="0"/>
    <xf numFmtId="0" fontId="85" fillId="0" borderId="136" applyNumberFormat="0" applyFill="0" applyAlignment="0" applyProtection="0"/>
    <xf numFmtId="0" fontId="85" fillId="0" borderId="136" applyNumberFormat="0" applyFill="0" applyAlignment="0" applyProtection="0"/>
    <xf numFmtId="0" fontId="85" fillId="0" borderId="136" applyNumberFormat="0" applyFill="0" applyAlignment="0" applyProtection="0"/>
    <xf numFmtId="0" fontId="85" fillId="0" borderId="136" applyNumberFormat="0" applyFill="0" applyAlignment="0" applyProtection="0"/>
    <xf numFmtId="0" fontId="85" fillId="0" borderId="136"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alignment vertical="top"/>
      <protection locked="0"/>
    </xf>
    <xf numFmtId="0" fontId="81" fillId="59" borderId="196"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9" fillId="6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89" fillId="61"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5" fillId="0" borderId="190" applyNumberFormat="0" applyFill="0" applyAlignment="0" applyProtection="0"/>
    <xf numFmtId="0" fontId="2" fillId="0" borderId="0"/>
    <xf numFmtId="0" fontId="19" fillId="0" borderId="0"/>
    <xf numFmtId="0" fontId="2" fillId="0" borderId="0"/>
    <xf numFmtId="0" fontId="9" fillId="0" borderId="0" applyFont="0"/>
    <xf numFmtId="0" fontId="19" fillId="0" borderId="0"/>
    <xf numFmtId="0" fontId="19" fillId="0" borderId="0"/>
    <xf numFmtId="0" fontId="2" fillId="0" borderId="0"/>
    <xf numFmtId="0" fontId="2" fillId="0" borderId="0"/>
    <xf numFmtId="0" fontId="19" fillId="0" borderId="0"/>
    <xf numFmtId="0" fontId="3" fillId="0" borderId="0"/>
    <xf numFmtId="0" fontId="6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9" fillId="0" borderId="0"/>
    <xf numFmtId="0" fontId="9" fillId="0" borderId="0"/>
    <xf numFmtId="0" fontId="9" fillId="0" borderId="0"/>
    <xf numFmtId="0" fontId="9" fillId="0" borderId="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81" fillId="59" borderId="196" applyNumberFormat="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61" fillId="0" borderId="0"/>
    <xf numFmtId="9" fontId="9" fillId="0" borderId="0" applyFont="0" applyFill="0" applyBorder="0" applyAlignment="0" applyProtection="0"/>
    <xf numFmtId="9"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9" fillId="0" borderId="0" applyFont="0" applyFill="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9" fillId="0" borderId="4" applyNumberFormat="0" applyFont="0" applyFill="0" applyAlignment="0" applyProtection="0">
      <alignment vertical="top"/>
    </xf>
    <xf numFmtId="0" fontId="9" fillId="0" borderId="4" applyNumberFormat="0" applyFont="0" applyFill="0" applyAlignment="0" applyProtection="0">
      <alignment vertical="top"/>
    </xf>
    <xf numFmtId="0" fontId="9" fillId="0" borderId="4" applyNumberFormat="0" applyFont="0" applyFill="0" applyAlignment="0" applyProtection="0">
      <alignment vertical="top"/>
    </xf>
    <xf numFmtId="0" fontId="9" fillId="0" borderId="4" applyNumberFormat="0" applyFont="0" applyFill="0" applyAlignment="0" applyProtection="0">
      <alignment vertical="top"/>
    </xf>
    <xf numFmtId="0" fontId="9" fillId="0" borderId="4" applyNumberFormat="0" applyFont="0" applyFill="0" applyAlignment="0" applyProtection="0">
      <alignment vertical="top"/>
    </xf>
    <xf numFmtId="0" fontId="9" fillId="0" borderId="4" applyNumberFormat="0" applyFont="0" applyFill="0" applyAlignment="0" applyProtection="0">
      <alignment vertical="top"/>
    </xf>
    <xf numFmtId="0" fontId="9" fillId="0" borderId="4" applyNumberFormat="0" applyFont="0" applyFill="0" applyAlignment="0" applyProtection="0">
      <alignment vertical="top"/>
    </xf>
    <xf numFmtId="0" fontId="9" fillId="0" borderId="4" applyNumberFormat="0" applyFont="0" applyFill="0" applyAlignment="0" applyProtection="0">
      <alignment vertical="top"/>
    </xf>
    <xf numFmtId="0" fontId="9" fillId="0" borderId="4" applyNumberFormat="0" applyFont="0" applyFill="0" applyAlignment="0" applyProtection="0">
      <alignment vertical="top"/>
    </xf>
    <xf numFmtId="0" fontId="9" fillId="0" borderId="4" applyNumberFormat="0" applyFont="0" applyFill="0" applyAlignment="0" applyProtection="0">
      <alignment vertical="top"/>
    </xf>
    <xf numFmtId="0" fontId="60" fillId="0" borderId="0"/>
    <xf numFmtId="0" fontId="9" fillId="0" borderId="4" applyNumberFormat="0" applyFont="0" applyFill="0" applyAlignment="0" applyProtection="0">
      <alignment vertical="top"/>
    </xf>
    <xf numFmtId="0" fontId="9" fillId="0" borderId="4" applyNumberFormat="0" applyFont="0" applyFill="0" applyAlignment="0" applyProtection="0">
      <alignment vertical="top"/>
    </xf>
    <xf numFmtId="0" fontId="9" fillId="0" borderId="4" applyNumberFormat="0" applyFont="0" applyFill="0" applyAlignment="0" applyProtection="0">
      <alignment vertical="top"/>
    </xf>
    <xf numFmtId="0" fontId="9" fillId="0" borderId="4" applyNumberFormat="0" applyFont="0" applyFill="0" applyAlignment="0" applyProtection="0">
      <alignment vertical="top"/>
    </xf>
    <xf numFmtId="0" fontId="9" fillId="0" borderId="4" applyNumberFormat="0" applyFont="0" applyFill="0" applyAlignment="0" applyProtection="0">
      <alignment vertical="top"/>
    </xf>
    <xf numFmtId="0" fontId="9" fillId="0" borderId="4" applyNumberFormat="0" applyFont="0" applyFill="0" applyAlignment="0" applyProtection="0">
      <alignment vertical="top"/>
    </xf>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 fillId="0" borderId="0"/>
    <xf numFmtId="0" fontId="1" fillId="0" borderId="0"/>
    <xf numFmtId="0" fontId="9" fillId="0" borderId="0"/>
    <xf numFmtId="0" fontId="9" fillId="0" borderId="0"/>
    <xf numFmtId="0" fontId="2" fillId="0" borderId="0"/>
    <xf numFmtId="43" fontId="60" fillId="0" borderId="0" applyFont="0" applyFill="0" applyBorder="0" applyAlignment="0" applyProtection="0"/>
    <xf numFmtId="5" fontId="2" fillId="0" borderId="0" applyFont="0" applyFill="0" applyBorder="0" applyAlignment="0" applyProtection="0"/>
    <xf numFmtId="182"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82" fontId="1" fillId="0" borderId="0"/>
    <xf numFmtId="182" fontId="1" fillId="0" borderId="0"/>
    <xf numFmtId="10" fontId="1" fillId="0" borderId="0" applyFont="0" applyFill="0" applyBorder="0" applyAlignment="0" applyProtection="0"/>
    <xf numFmtId="0" fontId="92" fillId="11" borderId="0" applyNumberFormat="0" applyBorder="0" applyAlignment="0" applyProtection="0"/>
    <xf numFmtId="0" fontId="93" fillId="10"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2" fillId="0" borderId="0"/>
    <xf numFmtId="0" fontId="1" fillId="0" borderId="0"/>
    <xf numFmtId="0" fontId="1" fillId="0" borderId="0"/>
    <xf numFmtId="0" fontId="2" fillId="0" borderId="0"/>
    <xf numFmtId="5" fontId="2" fillId="0" borderId="0" applyFont="0" applyFill="0" applyBorder="0" applyAlignment="0" applyProtection="0"/>
    <xf numFmtId="0" fontId="1" fillId="0" borderId="0"/>
    <xf numFmtId="0" fontId="64" fillId="59" borderId="142" applyNumberFormat="0" applyAlignment="0" applyProtection="0"/>
    <xf numFmtId="0" fontId="65" fillId="60" borderId="133" applyNumberFormat="0" applyAlignment="0" applyProtection="0"/>
    <xf numFmtId="0" fontId="71" fillId="46" borderId="142" applyNumberFormat="0" applyAlignment="0" applyProtection="0"/>
    <xf numFmtId="0" fontId="2" fillId="0" borderId="0"/>
    <xf numFmtId="0" fontId="11" fillId="62" borderId="143" applyNumberFormat="0" applyFont="0" applyAlignment="0" applyProtection="0"/>
    <xf numFmtId="0" fontId="74" fillId="59" borderId="144" applyNumberFormat="0" applyAlignment="0" applyProtection="0"/>
    <xf numFmtId="0" fontId="76" fillId="0" borderId="145" applyNumberFormat="0" applyFill="0" applyAlignment="0" applyProtection="0"/>
    <xf numFmtId="0" fontId="1" fillId="0" borderId="0"/>
    <xf numFmtId="43" fontId="2" fillId="0" borderId="0" applyFont="0" applyFill="0" applyBorder="0" applyAlignment="0" applyProtection="0"/>
    <xf numFmtId="5" fontId="2" fillId="0" borderId="0" applyFont="0" applyFill="0" applyBorder="0" applyAlignment="0" applyProtection="0"/>
    <xf numFmtId="0" fontId="2" fillId="0" borderId="0"/>
    <xf numFmtId="10" fontId="2" fillId="0" borderId="0" applyFont="0" applyFill="0" applyBorder="0" applyAlignment="0" applyProtection="0"/>
    <xf numFmtId="0" fontId="1" fillId="0" borderId="0"/>
    <xf numFmtId="0" fontId="1" fillId="0" borderId="0"/>
    <xf numFmtId="10" fontId="1" fillId="0" borderId="0" applyFont="0" applyFill="0" applyBorder="0" applyAlignment="0" applyProtection="0"/>
    <xf numFmtId="5" fontId="2" fillId="0" borderId="0" applyFont="0" applyFill="0" applyBorder="0" applyAlignment="0" applyProtection="0"/>
    <xf numFmtId="44" fontId="1" fillId="0" borderId="0" applyFont="0" applyFill="0" applyBorder="0" applyAlignment="0" applyProtection="0"/>
    <xf numFmtId="0" fontId="81" fillId="59" borderId="142" applyNumberFormat="0" applyAlignment="0" applyProtection="0"/>
    <xf numFmtId="0" fontId="81" fillId="59" borderId="142" applyNumberFormat="0" applyAlignment="0" applyProtection="0"/>
    <xf numFmtId="0" fontId="81" fillId="59" borderId="142" applyNumberFormat="0" applyAlignment="0" applyProtection="0"/>
    <xf numFmtId="0" fontId="81" fillId="59" borderId="142" applyNumberFormat="0" applyAlignment="0" applyProtection="0"/>
    <xf numFmtId="0" fontId="81" fillId="59" borderId="142" applyNumberFormat="0" applyAlignment="0" applyProtection="0"/>
    <xf numFmtId="0" fontId="81" fillId="59" borderId="142" applyNumberFormat="0" applyAlignment="0" applyProtection="0"/>
    <xf numFmtId="0" fontId="81" fillId="59" borderId="142" applyNumberFormat="0" applyAlignment="0" applyProtection="0"/>
    <xf numFmtId="0" fontId="81" fillId="59" borderId="142" applyNumberFormat="0" applyAlignment="0" applyProtection="0"/>
    <xf numFmtId="0" fontId="81" fillId="59" borderId="142" applyNumberFormat="0" applyAlignment="0" applyProtection="0"/>
    <xf numFmtId="0" fontId="81" fillId="59" borderId="142" applyNumberFormat="0" applyAlignment="0" applyProtection="0"/>
    <xf numFmtId="0" fontId="81" fillId="59" borderId="142" applyNumberFormat="0" applyAlignment="0" applyProtection="0"/>
    <xf numFmtId="0" fontId="81" fillId="59" borderId="142" applyNumberFormat="0" applyAlignment="0" applyProtection="0"/>
    <xf numFmtId="0" fontId="81" fillId="59" borderId="142" applyNumberFormat="0" applyAlignment="0" applyProtection="0"/>
    <xf numFmtId="0" fontId="81" fillId="59" borderId="142" applyNumberFormat="0" applyAlignment="0" applyProtection="0"/>
    <xf numFmtId="0" fontId="81" fillId="59" borderId="142" applyNumberFormat="0" applyAlignment="0" applyProtection="0"/>
    <xf numFmtId="0" fontId="81" fillId="59" borderId="142" applyNumberFormat="0" applyAlignment="0" applyProtection="0"/>
    <xf numFmtId="0" fontId="81" fillId="59" borderId="14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5" fontId="1" fillId="0" borderId="0" applyFont="0" applyFill="0" applyBorder="0" applyAlignment="0" applyProtection="0"/>
    <xf numFmtId="44" fontId="2"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0" fontId="12" fillId="0" borderId="146">
      <alignment horizontal="left" vertical="center"/>
    </xf>
    <xf numFmtId="0" fontId="12" fillId="0" borderId="146">
      <alignment horizontal="left" vertical="center"/>
    </xf>
    <xf numFmtId="0" fontId="12" fillId="0" borderId="146">
      <alignment horizontal="left" vertical="center"/>
    </xf>
    <xf numFmtId="0" fontId="12" fillId="0" borderId="146">
      <alignment horizontal="left" vertical="center"/>
    </xf>
    <xf numFmtId="0" fontId="12" fillId="0" borderId="146">
      <alignment horizontal="left" vertical="center"/>
    </xf>
    <xf numFmtId="0" fontId="12" fillId="0" borderId="146">
      <alignment horizontal="left" vertical="center"/>
    </xf>
    <xf numFmtId="0" fontId="12" fillId="0" borderId="146">
      <alignment horizontal="left" vertical="center"/>
    </xf>
    <xf numFmtId="0" fontId="12" fillId="0" borderId="146">
      <alignment horizontal="left" vertical="center"/>
    </xf>
    <xf numFmtId="0" fontId="12" fillId="0" borderId="146">
      <alignment horizontal="left" vertical="center"/>
    </xf>
    <xf numFmtId="10" fontId="11" fillId="3" borderId="147" applyNumberFormat="0" applyBorder="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87" fillId="46" borderId="14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9" fillId="62" borderId="143" applyNumberFormat="0" applyFont="0" applyAlignment="0" applyProtection="0"/>
    <xf numFmtId="0" fontId="9" fillId="62" borderId="143" applyNumberFormat="0" applyFont="0" applyAlignment="0" applyProtection="0"/>
    <xf numFmtId="0" fontId="9" fillId="62" borderId="143" applyNumberFormat="0" applyFont="0" applyAlignment="0" applyProtection="0"/>
    <xf numFmtId="0" fontId="9" fillId="62" borderId="143" applyNumberFormat="0" applyFont="0" applyAlignment="0" applyProtection="0"/>
    <xf numFmtId="0" fontId="9" fillId="62" borderId="143" applyNumberFormat="0" applyFont="0" applyAlignment="0" applyProtection="0"/>
    <xf numFmtId="0" fontId="9" fillId="62" borderId="143" applyNumberFormat="0" applyFont="0" applyAlignment="0" applyProtection="0"/>
    <xf numFmtId="0" fontId="9" fillId="62" borderId="143" applyNumberFormat="0" applyFont="0" applyAlignment="0" applyProtection="0"/>
    <xf numFmtId="0" fontId="9" fillId="62" borderId="143" applyNumberFormat="0" applyFont="0" applyAlignment="0" applyProtection="0"/>
    <xf numFmtId="0" fontId="9" fillId="62" borderId="143" applyNumberFormat="0" applyFont="0" applyAlignment="0" applyProtection="0"/>
    <xf numFmtId="0" fontId="9" fillId="62" borderId="143" applyNumberFormat="0" applyFont="0" applyAlignment="0" applyProtection="0"/>
    <xf numFmtId="0" fontId="9" fillId="62" borderId="143" applyNumberFormat="0" applyFont="0" applyAlignment="0" applyProtection="0"/>
    <xf numFmtId="0" fontId="9" fillId="62" borderId="143" applyNumberFormat="0" applyFont="0" applyAlignment="0" applyProtection="0"/>
    <xf numFmtId="0" fontId="9" fillId="62" borderId="143" applyNumberFormat="0" applyFont="0" applyAlignment="0" applyProtection="0"/>
    <xf numFmtId="0" fontId="9" fillId="62" borderId="143" applyNumberFormat="0" applyFont="0" applyAlignment="0" applyProtection="0"/>
    <xf numFmtId="0" fontId="9" fillId="62" borderId="143" applyNumberFormat="0" applyFont="0" applyAlignment="0" applyProtection="0"/>
    <xf numFmtId="0" fontId="9" fillId="62" borderId="143" applyNumberFormat="0" applyFont="0" applyAlignment="0" applyProtection="0"/>
    <xf numFmtId="0" fontId="9" fillId="62" borderId="143" applyNumberFormat="0" applyFont="0" applyAlignment="0" applyProtection="0"/>
    <xf numFmtId="0" fontId="90" fillId="59" borderId="144" applyNumberFormat="0" applyAlignment="0" applyProtection="0"/>
    <xf numFmtId="0" fontId="90" fillId="59" borderId="144" applyNumberFormat="0" applyAlignment="0" applyProtection="0"/>
    <xf numFmtId="0" fontId="90" fillId="59" borderId="144" applyNumberFormat="0" applyAlignment="0" applyProtection="0"/>
    <xf numFmtId="0" fontId="90" fillId="59" borderId="144" applyNumberFormat="0" applyAlignment="0" applyProtection="0"/>
    <xf numFmtId="0" fontId="90" fillId="59" borderId="144" applyNumberFormat="0" applyAlignment="0" applyProtection="0"/>
    <xf numFmtId="0" fontId="90" fillId="59" borderId="144" applyNumberFormat="0" applyAlignment="0" applyProtection="0"/>
    <xf numFmtId="0" fontId="90" fillId="59" borderId="144" applyNumberFormat="0" applyAlignment="0" applyProtection="0"/>
    <xf numFmtId="0" fontId="90" fillId="59" borderId="144" applyNumberFormat="0" applyAlignment="0" applyProtection="0"/>
    <xf numFmtId="0" fontId="90" fillId="59" borderId="144" applyNumberFormat="0" applyAlignment="0" applyProtection="0"/>
    <xf numFmtId="0" fontId="90" fillId="59" borderId="144" applyNumberFormat="0" applyAlignment="0" applyProtection="0"/>
    <xf numFmtId="0" fontId="90" fillId="59" borderId="144" applyNumberFormat="0" applyAlignment="0" applyProtection="0"/>
    <xf numFmtId="0" fontId="90" fillId="59" borderId="144" applyNumberFormat="0" applyAlignment="0" applyProtection="0"/>
    <xf numFmtId="0" fontId="90" fillId="59" borderId="144" applyNumberFormat="0" applyAlignment="0" applyProtection="0"/>
    <xf numFmtId="0" fontId="90" fillId="59" borderId="144" applyNumberFormat="0" applyAlignment="0" applyProtection="0"/>
    <xf numFmtId="0" fontId="90" fillId="59" borderId="144" applyNumberFormat="0" applyAlignment="0" applyProtection="0"/>
    <xf numFmtId="0" fontId="90" fillId="59" borderId="144" applyNumberFormat="0" applyAlignment="0" applyProtection="0"/>
    <xf numFmtId="0" fontId="90" fillId="59" borderId="144" applyNumberFormat="0" applyAlignment="0" applyProtection="0"/>
    <xf numFmtId="9" fontId="1" fillId="0" borderId="0" applyFont="0" applyFill="0" applyBorder="0" applyAlignment="0" applyProtection="0"/>
    <xf numFmtId="9"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2" fillId="0" borderId="0"/>
    <xf numFmtId="182"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82" fontId="1" fillId="0" borderId="0"/>
    <xf numFmtId="182" fontId="1" fillId="0" borderId="0"/>
    <xf numFmtId="1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81" fillId="59" borderId="148" applyNumberFormat="0" applyAlignment="0" applyProtection="0"/>
    <xf numFmtId="0" fontId="11" fillId="62" borderId="149" applyNumberFormat="0" applyFont="0" applyAlignment="0" applyProtection="0"/>
    <xf numFmtId="0" fontId="90" fillId="59" borderId="150" applyNumberFormat="0" applyAlignment="0" applyProtection="0"/>
    <xf numFmtId="0" fontId="9" fillId="62" borderId="149" applyNumberFormat="0" applyFont="0" applyAlignment="0" applyProtection="0"/>
    <xf numFmtId="0" fontId="87" fillId="46" borderId="148" applyNumberFormat="0" applyAlignment="0" applyProtection="0"/>
    <xf numFmtId="0" fontId="88" fillId="0" borderId="137" applyNumberFormat="0" applyFill="0" applyAlignment="0" applyProtection="0"/>
    <xf numFmtId="0" fontId="12" fillId="0" borderId="152">
      <alignment horizontal="left" vertical="center"/>
    </xf>
    <xf numFmtId="0" fontId="64" fillId="59" borderId="148" applyNumberFormat="0" applyAlignment="0" applyProtection="0"/>
    <xf numFmtId="0" fontId="87" fillId="46" borderId="148" applyNumberFormat="0" applyAlignment="0" applyProtection="0"/>
    <xf numFmtId="0" fontId="87" fillId="46" borderId="148" applyNumberFormat="0" applyAlignment="0" applyProtection="0"/>
    <xf numFmtId="0" fontId="71" fillId="46" borderId="148" applyNumberFormat="0" applyAlignment="0" applyProtection="0"/>
    <xf numFmtId="0" fontId="72" fillId="0" borderId="137" applyNumberFormat="0" applyFill="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11" fillId="62" borderId="149" applyNumberFormat="0" applyFont="0" applyAlignment="0" applyProtection="0"/>
    <xf numFmtId="0" fontId="74" fillId="59" borderId="150" applyNumberFormat="0" applyAlignment="0" applyProtection="0"/>
    <xf numFmtId="10" fontId="11" fillId="3" borderId="147" applyNumberFormat="0" applyBorder="0" applyAlignment="0" applyProtection="0"/>
    <xf numFmtId="0" fontId="76" fillId="0" borderId="151" applyNumberFormat="0" applyFill="0" applyAlignment="0" applyProtection="0"/>
    <xf numFmtId="0" fontId="1" fillId="0" borderId="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1" fillId="59" borderId="148" applyNumberFormat="0" applyAlignment="0" applyProtection="0"/>
    <xf numFmtId="0" fontId="12" fillId="0" borderId="141">
      <alignment horizontal="left" vertical="center"/>
    </xf>
    <xf numFmtId="0" fontId="81" fillId="59" borderId="148" applyNumberFormat="0" applyAlignment="0" applyProtection="0"/>
    <xf numFmtId="0" fontId="1" fillId="0" borderId="0"/>
    <xf numFmtId="0" fontId="81" fillId="59" borderId="148" applyNumberFormat="0" applyAlignment="0" applyProtection="0"/>
    <xf numFmtId="0" fontId="1" fillId="0" borderId="0"/>
    <xf numFmtId="10" fontId="1" fillId="0" borderId="0" applyFont="0" applyFill="0" applyBorder="0" applyAlignment="0" applyProtection="0"/>
    <xf numFmtId="0" fontId="9" fillId="62" borderId="149" applyNumberFormat="0" applyFont="0" applyAlignment="0" applyProtection="0"/>
    <xf numFmtId="0" fontId="87" fillId="46" borderId="148" applyNumberFormat="0" applyAlignment="0" applyProtection="0"/>
    <xf numFmtId="44" fontId="1" fillId="0" borderId="0" applyFont="0" applyFill="0" applyBorder="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7" fillId="46" borderId="132" applyNumberFormat="0" applyAlignment="0" applyProtection="0"/>
    <xf numFmtId="0" fontId="81" fillId="59" borderId="148" applyNumberFormat="0" applyAlignment="0" applyProtection="0"/>
    <xf numFmtId="0" fontId="12" fillId="0" borderId="2">
      <alignment horizontal="left" vertical="center"/>
    </xf>
    <xf numFmtId="0" fontId="76" fillId="0" borderId="151" applyNumberFormat="0" applyFill="0" applyAlignment="0" applyProtection="0"/>
    <xf numFmtId="0" fontId="74" fillId="59" borderId="150" applyNumberFormat="0" applyAlignment="0" applyProtection="0"/>
    <xf numFmtId="0" fontId="71" fillId="46" borderId="148" applyNumberFormat="0" applyAlignment="0" applyProtection="0"/>
    <xf numFmtId="0" fontId="64" fillId="59" borderId="148" applyNumberFormat="0" applyAlignment="0" applyProtection="0"/>
    <xf numFmtId="0" fontId="85" fillId="0" borderId="136" applyNumberFormat="0" applyFill="0" applyAlignment="0" applyProtection="0"/>
    <xf numFmtId="0" fontId="81" fillId="59" borderId="148" applyNumberFormat="0" applyAlignment="0" applyProtection="0"/>
    <xf numFmtId="0" fontId="87" fillId="46" borderId="148" applyNumberFormat="0" applyAlignment="0" applyProtection="0"/>
    <xf numFmtId="0" fontId="81" fillId="59" borderId="148" applyNumberFormat="0" applyAlignment="0" applyProtection="0"/>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76" fillId="0" borderId="151" applyNumberFormat="0" applyFill="0" applyAlignment="0" applyProtection="0"/>
    <xf numFmtId="0" fontId="11" fillId="62" borderId="149" applyNumberFormat="0" applyFont="0" applyAlignment="0" applyProtection="0"/>
    <xf numFmtId="0" fontId="71" fillId="46" borderId="148" applyNumberFormat="0" applyAlignment="0" applyProtection="0"/>
    <xf numFmtId="0" fontId="64" fillId="59" borderId="148" applyNumberFormat="0" applyAlignment="0" applyProtection="0"/>
    <xf numFmtId="0" fontId="74" fillId="59" borderId="139" applyNumberFormat="0" applyAlignment="0" applyProtection="0"/>
    <xf numFmtId="0" fontId="12" fillId="0" borderId="2">
      <alignment horizontal="left" vertical="center"/>
    </xf>
    <xf numFmtId="0" fontId="11" fillId="62" borderId="149" applyNumberFormat="0" applyFont="0" applyAlignment="0" applyProtection="0"/>
    <xf numFmtId="0" fontId="74" fillId="59" borderId="150" applyNumberFormat="0" applyAlignment="0" applyProtection="0"/>
    <xf numFmtId="0" fontId="81" fillId="59" borderId="132" applyNumberFormat="0" applyAlignment="0" applyProtection="0"/>
    <xf numFmtId="0" fontId="88" fillId="0" borderId="137" applyNumberFormat="0" applyFill="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11" fillId="62" borderId="138" applyNumberFormat="0" applyFon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5" fillId="0" borderId="136" applyNumberFormat="0" applyFill="0" applyAlignment="0" applyProtection="0"/>
    <xf numFmtId="0" fontId="85" fillId="0" borderId="136" applyNumberFormat="0" applyFill="0" applyAlignment="0" applyProtection="0"/>
    <xf numFmtId="0" fontId="85" fillId="0" borderId="136" applyNumberFormat="0" applyFill="0" applyAlignment="0" applyProtection="0"/>
    <xf numFmtId="0" fontId="85" fillId="0" borderId="136" applyNumberFormat="0" applyFill="0" applyAlignment="0" applyProtection="0"/>
    <xf numFmtId="0" fontId="85" fillId="0" borderId="136" applyNumberFormat="0" applyFill="0" applyAlignment="0" applyProtection="0"/>
    <xf numFmtId="0" fontId="85" fillId="0" borderId="136" applyNumberFormat="0" applyFill="0" applyAlignment="0" applyProtection="0"/>
    <xf numFmtId="0" fontId="12" fillId="0" borderId="141">
      <alignment horizontal="left" vertical="center"/>
    </xf>
    <xf numFmtId="0" fontId="12" fillId="0" borderId="141">
      <alignment horizontal="left" vertical="center"/>
    </xf>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1" fillId="59" borderId="148" applyNumberFormat="0" applyAlignment="0" applyProtection="0"/>
    <xf numFmtId="0" fontId="81" fillId="59" borderId="148" applyNumberFormat="0" applyAlignment="0" applyProtection="0"/>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10" fontId="11" fillId="3" borderId="147" applyNumberFormat="0" applyBorder="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43" fontId="1" fillId="0" borderId="0" applyFont="0" applyFill="0" applyBorder="0" applyAlignment="0" applyProtection="0"/>
    <xf numFmtId="5" fontId="1" fillId="0" borderId="0" applyFont="0" applyFill="0" applyBorder="0" applyAlignment="0" applyProtection="0"/>
    <xf numFmtId="0" fontId="9" fillId="62" borderId="149" applyNumberFormat="0" applyFont="0" applyAlignment="0" applyProtection="0"/>
    <xf numFmtId="0" fontId="9" fillId="62" borderId="149" applyNumberFormat="0" applyFont="0" applyAlignment="0" applyProtection="0"/>
    <xf numFmtId="0" fontId="90" fillId="59" borderId="150" applyNumberFormat="0" applyAlignment="0" applyProtection="0"/>
    <xf numFmtId="0" fontId="81" fillId="59" borderId="132" applyNumberFormat="0" applyAlignment="0" applyProtection="0"/>
    <xf numFmtId="0" fontId="88" fillId="0" borderId="137" applyNumberFormat="0" applyFill="0" applyAlignment="0" applyProtection="0"/>
    <xf numFmtId="0" fontId="81" fillId="59" borderId="132" applyNumberFormat="0" applyAlignment="0" applyProtection="0"/>
    <xf numFmtId="0" fontId="71" fillId="46" borderId="132" applyNumberFormat="0" applyAlignment="0" applyProtection="0"/>
    <xf numFmtId="0" fontId="85" fillId="0" borderId="136" applyNumberFormat="0" applyFill="0" applyAlignment="0" applyProtection="0"/>
    <xf numFmtId="0" fontId="90" fillId="59" borderId="150" applyNumberFormat="0" applyAlignment="0" applyProtection="0"/>
    <xf numFmtId="0" fontId="81" fillId="59" borderId="148" applyNumberFormat="0" applyAlignment="0" applyProtection="0"/>
    <xf numFmtId="0" fontId="81" fillId="59" borderId="148" applyNumberFormat="0" applyAlignment="0" applyProtection="0"/>
    <xf numFmtId="0" fontId="90" fillId="59" borderId="150" applyNumberFormat="0" applyAlignment="0" applyProtection="0"/>
    <xf numFmtId="0" fontId="9" fillId="62" borderId="149" applyNumberFormat="0" applyFont="0" applyAlignment="0" applyProtection="0"/>
    <xf numFmtId="0" fontId="64" fillId="59" borderId="148" applyNumberFormat="0" applyAlignment="0" applyProtection="0"/>
    <xf numFmtId="0" fontId="71" fillId="46" borderId="148" applyNumberFormat="0" applyAlignment="0" applyProtection="0"/>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81" fillId="59" borderId="132" applyNumberFormat="0" applyAlignment="0" applyProtection="0"/>
    <xf numFmtId="0" fontId="11" fillId="62" borderId="149" applyNumberFormat="0" applyFont="0" applyAlignment="0" applyProtection="0"/>
    <xf numFmtId="0" fontId="74" fillId="59" borderId="150" applyNumberFormat="0" applyAlignment="0" applyProtection="0"/>
    <xf numFmtId="0" fontId="76" fillId="0" borderId="151" applyNumberFormat="0" applyFill="0" applyAlignment="0" applyProtection="0"/>
    <xf numFmtId="0" fontId="81" fillId="59" borderId="132"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10" fontId="11" fillId="3" borderId="147" applyNumberFormat="0" applyBorder="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1" fillId="59" borderId="148" applyNumberFormat="0" applyAlignment="0" applyProtection="0"/>
    <xf numFmtId="0" fontId="81" fillId="59" borderId="148" applyNumberFormat="0" applyAlignment="0" applyProtection="0"/>
    <xf numFmtId="0" fontId="12" fillId="0" borderId="2">
      <alignment horizontal="left" vertical="center"/>
    </xf>
    <xf numFmtId="0" fontId="81" fillId="59" borderId="148" applyNumberFormat="0" applyAlignment="0" applyProtection="0"/>
    <xf numFmtId="0" fontId="9" fillId="62" borderId="149" applyNumberFormat="0" applyFont="0" applyAlignment="0" applyProtection="0"/>
    <xf numFmtId="0" fontId="9" fillId="62" borderId="149" applyNumberFormat="0" applyFont="0" applyAlignment="0" applyProtection="0"/>
    <xf numFmtId="0" fontId="81" fillId="59" borderId="132"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12" fillId="0" borderId="152">
      <alignment horizontal="left" vertical="center"/>
    </xf>
    <xf numFmtId="0" fontId="87" fillId="46" borderId="148" applyNumberFormat="0" applyAlignment="0" applyProtection="0"/>
    <xf numFmtId="0" fontId="9" fillId="62" borderId="149" applyNumberFormat="0" applyFont="0" applyAlignment="0" applyProtection="0"/>
    <xf numFmtId="0" fontId="81" fillId="59" borderId="132" applyNumberFormat="0" applyAlignment="0" applyProtection="0"/>
    <xf numFmtId="0" fontId="90" fillId="59" borderId="150" applyNumberFormat="0" applyAlignment="0" applyProtection="0"/>
    <xf numFmtId="0" fontId="12" fillId="0" borderId="152">
      <alignment horizontal="left" vertical="center"/>
    </xf>
    <xf numFmtId="0" fontId="90" fillId="59" borderId="150" applyNumberFormat="0" applyAlignment="0" applyProtection="0"/>
    <xf numFmtId="0" fontId="87" fillId="46" borderId="148" applyNumberFormat="0" applyAlignment="0" applyProtection="0"/>
    <xf numFmtId="0" fontId="12" fillId="0" borderId="152">
      <alignment horizontal="left" vertical="center"/>
    </xf>
    <xf numFmtId="0" fontId="85" fillId="0" borderId="136" applyNumberFormat="0" applyFill="0" applyAlignment="0" applyProtection="0"/>
    <xf numFmtId="0" fontId="12" fillId="0" borderId="152">
      <alignment horizontal="left" vertical="center"/>
    </xf>
    <xf numFmtId="0" fontId="64" fillId="59" borderId="148" applyNumberFormat="0" applyAlignment="0" applyProtection="0"/>
    <xf numFmtId="0" fontId="71" fillId="46" borderId="148" applyNumberFormat="0" applyAlignment="0" applyProtection="0"/>
    <xf numFmtId="0" fontId="74" fillId="59" borderId="150" applyNumberFormat="0" applyAlignment="0" applyProtection="0"/>
    <xf numFmtId="0" fontId="76" fillId="0" borderId="151" applyNumberFormat="0" applyFill="0" applyAlignment="0" applyProtection="0"/>
    <xf numFmtId="0" fontId="81" fillId="59" borderId="148" applyNumberFormat="0" applyAlignment="0" applyProtection="0"/>
    <xf numFmtId="0" fontId="1" fillId="0" borderId="0"/>
    <xf numFmtId="0" fontId="1" fillId="0" borderId="0"/>
    <xf numFmtId="0" fontId="1" fillId="0" borderId="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81" fillId="59" borderId="148" applyNumberFormat="0" applyAlignment="0" applyProtection="0"/>
    <xf numFmtId="0" fontId="81" fillId="59" borderId="148" applyNumberFormat="0" applyAlignment="0" applyProtection="0"/>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10" fontId="11" fillId="3" borderId="147" applyNumberFormat="0" applyBorder="0" applyAlignment="0" applyProtection="0"/>
    <xf numFmtId="0" fontId="12" fillId="0" borderId="141">
      <alignment horizontal="left" vertical="center"/>
    </xf>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9" fontId="1" fillId="0" borderId="0" applyFont="0" applyFill="0" applyBorder="0" applyAlignment="0" applyProtection="0"/>
    <xf numFmtId="0" fontId="81" fillId="59" borderId="148" applyNumberFormat="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88" fillId="0" borderId="137" applyNumberFormat="0" applyFill="0" applyAlignment="0" applyProtection="0"/>
    <xf numFmtId="0" fontId="81" fillId="59" borderId="132" applyNumberFormat="0" applyAlignment="0" applyProtection="0"/>
    <xf numFmtId="0" fontId="85" fillId="0" borderId="136" applyNumberFormat="0" applyFill="0" applyAlignment="0" applyProtection="0"/>
    <xf numFmtId="0" fontId="74" fillId="59" borderId="144" applyNumberFormat="0" applyAlignment="0" applyProtection="0"/>
    <xf numFmtId="0" fontId="11" fillId="62" borderId="143" applyNumberFormat="0" applyFont="0" applyAlignment="0" applyProtection="0"/>
    <xf numFmtId="0" fontId="71" fillId="46" borderId="142" applyNumberFormat="0" applyAlignment="0" applyProtection="0"/>
    <xf numFmtId="0" fontId="9" fillId="62" borderId="149" applyNumberFormat="0" applyFont="0" applyAlignment="0" applyProtection="0"/>
    <xf numFmtId="0" fontId="81" fillId="59" borderId="132" applyNumberFormat="0" applyAlignment="0" applyProtection="0"/>
    <xf numFmtId="0" fontId="87" fillId="46" borderId="148" applyNumberFormat="0" applyAlignment="0" applyProtection="0"/>
    <xf numFmtId="0" fontId="85" fillId="0" borderId="136" applyNumberFormat="0" applyFill="0" applyAlignment="0" applyProtection="0"/>
    <xf numFmtId="0" fontId="88" fillId="0" borderId="137" applyNumberFormat="0" applyFill="0" applyAlignment="0" applyProtection="0"/>
    <xf numFmtId="0" fontId="64" fillId="59" borderId="142" applyNumberFormat="0" applyAlignment="0" applyProtection="0"/>
    <xf numFmtId="0" fontId="12" fillId="0" borderId="152">
      <alignment horizontal="left" vertical="center"/>
    </xf>
    <xf numFmtId="0" fontId="87" fillId="46" borderId="148" applyNumberFormat="0" applyAlignment="0" applyProtection="0"/>
    <xf numFmtId="0" fontId="70" fillId="0" borderId="136" applyNumberFormat="0" applyFill="0" applyAlignment="0" applyProtection="0"/>
    <xf numFmtId="0" fontId="81" fillId="59" borderId="132" applyNumberFormat="0" applyAlignment="0" applyProtection="0"/>
    <xf numFmtId="0" fontId="81" fillId="59" borderId="132" applyNumberFormat="0" applyAlignment="0" applyProtection="0"/>
    <xf numFmtId="0" fontId="87" fillId="46" borderId="148" applyNumberFormat="0" applyAlignment="0" applyProtection="0"/>
    <xf numFmtId="0" fontId="81" fillId="59" borderId="148" applyNumberFormat="0" applyAlignment="0" applyProtection="0"/>
    <xf numFmtId="0" fontId="9" fillId="62" borderId="149" applyNumberFormat="0" applyFont="0" applyAlignment="0" applyProtection="0"/>
    <xf numFmtId="0" fontId="74" fillId="59" borderId="150" applyNumberFormat="0" applyAlignment="0" applyProtection="0"/>
    <xf numFmtId="0" fontId="81" fillId="59" borderId="148" applyNumberFormat="0" applyAlignment="0" applyProtection="0"/>
    <xf numFmtId="0" fontId="81" fillId="59" borderId="148" applyNumberFormat="0" applyAlignment="0" applyProtection="0"/>
    <xf numFmtId="0" fontId="1" fillId="0" borderId="0"/>
    <xf numFmtId="0" fontId="1" fillId="0" borderId="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7" fillId="46" borderId="148" applyNumberFormat="0" applyAlignment="0" applyProtection="0"/>
    <xf numFmtId="182"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82" fontId="1" fillId="0" borderId="0"/>
    <xf numFmtId="182" fontId="1" fillId="0" borderId="0"/>
    <xf numFmtId="10" fontId="1" fillId="0" borderId="0" applyFont="0" applyFill="0" applyBorder="0" applyAlignment="0" applyProtection="0"/>
    <xf numFmtId="0" fontId="11" fillId="62" borderId="149" applyNumberFormat="0" applyFont="0" applyAlignment="0" applyProtection="0"/>
    <xf numFmtId="0" fontId="12" fillId="0" borderId="141">
      <alignment horizontal="left" vertical="center"/>
    </xf>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81" fillId="59" borderId="148" applyNumberFormat="0" applyAlignment="0" applyProtection="0"/>
    <xf numFmtId="0" fontId="1" fillId="0" borderId="0"/>
    <xf numFmtId="0" fontId="64" fillId="59" borderId="148" applyNumberFormat="0" applyAlignment="0" applyProtection="0"/>
    <xf numFmtId="0" fontId="87" fillId="46" borderId="148" applyNumberFormat="0" applyAlignment="0" applyProtection="0"/>
    <xf numFmtId="0" fontId="71" fillId="46" borderId="148" applyNumberFormat="0" applyAlignment="0" applyProtection="0"/>
    <xf numFmtId="0" fontId="81" fillId="59" borderId="148" applyNumberFormat="0" applyAlignment="0" applyProtection="0"/>
    <xf numFmtId="0" fontId="11" fillId="62" borderId="149" applyNumberFormat="0" applyFont="0" applyAlignment="0" applyProtection="0"/>
    <xf numFmtId="0" fontId="74" fillId="59" borderId="150" applyNumberFormat="0" applyAlignment="0" applyProtection="0"/>
    <xf numFmtId="0" fontId="76" fillId="0" borderId="151" applyNumberFormat="0" applyFill="0" applyAlignment="0" applyProtection="0"/>
    <xf numFmtId="0" fontId="1" fillId="0" borderId="0"/>
    <xf numFmtId="0" fontId="9" fillId="62" borderId="149" applyNumberFormat="0" applyFont="0" applyAlignment="0" applyProtection="0"/>
    <xf numFmtId="0" fontId="81" fillId="59" borderId="148" applyNumberFormat="0" applyAlignment="0" applyProtection="0"/>
    <xf numFmtId="0" fontId="1" fillId="0" borderId="0"/>
    <xf numFmtId="0" fontId="1" fillId="0" borderId="0"/>
    <xf numFmtId="10" fontId="1" fillId="0" borderId="0" applyFont="0" applyFill="0" applyBorder="0" applyAlignment="0" applyProtection="0"/>
    <xf numFmtId="0" fontId="9" fillId="62" borderId="149" applyNumberFormat="0" applyFont="0" applyAlignment="0" applyProtection="0"/>
    <xf numFmtId="44" fontId="1" fillId="0" borderId="0" applyFont="0" applyFill="0" applyBorder="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43" fontId="1" fillId="0" borderId="0" applyFont="0" applyFill="0" applyBorder="0" applyAlignment="0" applyProtection="0"/>
    <xf numFmtId="0" fontId="72" fillId="0" borderId="137" applyNumberFormat="0" applyFill="0" applyAlignment="0" applyProtection="0"/>
    <xf numFmtId="5" fontId="1" fillId="0" borderId="0" applyFont="0" applyFill="0" applyBorder="0" applyAlignment="0" applyProtection="0"/>
    <xf numFmtId="0" fontId="64" fillId="59" borderId="132" applyNumberFormat="0" applyAlignment="0" applyProtection="0"/>
    <xf numFmtId="0" fontId="9" fillId="62" borderId="149" applyNumberFormat="0" applyFont="0" applyAlignment="0" applyProtection="0"/>
    <xf numFmtId="0" fontId="81" fillId="59" borderId="132" applyNumberFormat="0" applyAlignment="0" applyProtection="0"/>
    <xf numFmtId="0" fontId="81" fillId="59" borderId="132" applyNumberFormat="0" applyAlignment="0" applyProtection="0"/>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10" fontId="11" fillId="3" borderId="147" applyNumberFormat="0" applyBorder="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90" fillId="59" borderId="150" applyNumberFormat="0" applyAlignment="0" applyProtection="0"/>
    <xf numFmtId="0" fontId="11" fillId="62" borderId="149" applyNumberFormat="0" applyFont="0" applyAlignment="0" applyProtection="0"/>
    <xf numFmtId="0" fontId="81" fillId="59" borderId="148" applyNumberFormat="0" applyAlignment="0" applyProtection="0"/>
    <xf numFmtId="0" fontId="1" fillId="0" borderId="0"/>
    <xf numFmtId="0" fontId="1" fillId="0" borderId="0"/>
    <xf numFmtId="0" fontId="1" fillId="0" borderId="0"/>
    <xf numFmtId="0" fontId="81" fillId="59" borderId="148" applyNumberForma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81" fillId="59" borderId="148" applyNumberFormat="0" applyAlignment="0" applyProtection="0"/>
    <xf numFmtId="182"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82" fontId="1" fillId="0" borderId="0"/>
    <xf numFmtId="182" fontId="1" fillId="0" borderId="0"/>
    <xf numFmtId="1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10" fontId="11" fillId="3" borderId="147" applyNumberFormat="0" applyBorder="0" applyAlignment="0" applyProtection="0"/>
    <xf numFmtId="0" fontId="12" fillId="0" borderId="152">
      <alignment horizontal="left" vertical="center"/>
    </xf>
    <xf numFmtId="0" fontId="81" fillId="59" borderId="148" applyNumberFormat="0" applyAlignment="0" applyProtection="0"/>
    <xf numFmtId="0" fontId="81" fillId="59" borderId="148" applyNumberFormat="0" applyAlignment="0" applyProtection="0"/>
    <xf numFmtId="0" fontId="12" fillId="0" borderId="152">
      <alignment horizontal="left" vertical="center"/>
    </xf>
    <xf numFmtId="0" fontId="81" fillId="59" borderId="148" applyNumberFormat="0" applyAlignment="0" applyProtection="0"/>
    <xf numFmtId="0" fontId="90" fillId="59" borderId="150" applyNumberFormat="0" applyAlignment="0" applyProtection="0"/>
    <xf numFmtId="0" fontId="81" fillId="59" borderId="132" applyNumberFormat="0" applyAlignment="0" applyProtection="0"/>
    <xf numFmtId="0" fontId="87" fillId="46" borderId="148" applyNumberFormat="0" applyAlignment="0" applyProtection="0"/>
    <xf numFmtId="0" fontId="12" fillId="0" borderId="141">
      <alignment horizontal="left" vertical="center"/>
    </xf>
    <xf numFmtId="0" fontId="87" fillId="46" borderId="148" applyNumberFormat="0" applyAlignment="0" applyProtection="0"/>
    <xf numFmtId="0" fontId="90" fillId="59" borderId="150" applyNumberFormat="0" applyAlignment="0" applyProtection="0"/>
    <xf numFmtId="0" fontId="74" fillId="59" borderId="150" applyNumberFormat="0" applyAlignment="0" applyProtection="0"/>
    <xf numFmtId="0" fontId="81" fillId="59" borderId="148" applyNumberFormat="0" applyAlignment="0" applyProtection="0"/>
    <xf numFmtId="0" fontId="12" fillId="0" borderId="152">
      <alignment horizontal="left" vertical="center"/>
    </xf>
    <xf numFmtId="0" fontId="81" fillId="59" borderId="132" applyNumberFormat="0" applyAlignment="0" applyProtection="0"/>
    <xf numFmtId="0" fontId="81" fillId="59" borderId="148" applyNumberFormat="0" applyAlignment="0" applyProtection="0"/>
    <xf numFmtId="0" fontId="81" fillId="59" borderId="148" applyNumberFormat="0" applyAlignment="0" applyProtection="0"/>
    <xf numFmtId="0" fontId="88" fillId="0" borderId="137" applyNumberFormat="0" applyFill="0" applyAlignment="0" applyProtection="0"/>
    <xf numFmtId="0" fontId="87" fillId="46" borderId="148" applyNumberFormat="0" applyAlignment="0" applyProtection="0"/>
    <xf numFmtId="0" fontId="87" fillId="46" borderId="148" applyNumberFormat="0" applyAlignment="0" applyProtection="0"/>
    <xf numFmtId="0" fontId="88" fillId="0" borderId="137" applyNumberFormat="0" applyFill="0" applyAlignment="0" applyProtection="0"/>
    <xf numFmtId="0" fontId="88" fillId="0" borderId="137" applyNumberFormat="0" applyFill="0" applyAlignment="0" applyProtection="0"/>
    <xf numFmtId="0" fontId="9" fillId="62" borderId="149" applyNumberFormat="0" applyFont="0" applyAlignment="0" applyProtection="0"/>
    <xf numFmtId="0" fontId="81" fillId="59" borderId="148" applyNumberFormat="0" applyAlignment="0" applyProtection="0"/>
    <xf numFmtId="0" fontId="81" fillId="59" borderId="132" applyNumberFormat="0" applyAlignment="0" applyProtection="0"/>
    <xf numFmtId="0" fontId="85" fillId="0" borderId="136" applyNumberFormat="0" applyFill="0" applyAlignment="0" applyProtection="0"/>
    <xf numFmtId="0" fontId="81" fillId="59" borderId="148" applyNumberFormat="0" applyAlignment="0" applyProtection="0"/>
    <xf numFmtId="10" fontId="11" fillId="3" borderId="3" applyNumberFormat="0" applyBorder="0" applyAlignment="0" applyProtection="0"/>
    <xf numFmtId="0" fontId="12" fillId="0" borderId="141">
      <alignment horizontal="left" vertical="center"/>
    </xf>
    <xf numFmtId="0" fontId="81" fillId="59" borderId="148" applyNumberFormat="0" applyAlignment="0" applyProtection="0"/>
    <xf numFmtId="0" fontId="64" fillId="59" borderId="148" applyNumberFormat="0" applyAlignment="0" applyProtection="0"/>
    <xf numFmtId="0" fontId="71" fillId="46" borderId="148" applyNumberFormat="0" applyAlignment="0" applyProtection="0"/>
    <xf numFmtId="0" fontId="11" fillId="62" borderId="149" applyNumberFormat="0" applyFont="0" applyAlignment="0" applyProtection="0"/>
    <xf numFmtId="0" fontId="74" fillId="59" borderId="150" applyNumberFormat="0" applyAlignment="0" applyProtection="0"/>
    <xf numFmtId="0" fontId="76" fillId="0" borderId="151" applyNumberFormat="0" applyFill="0" applyAlignment="0" applyProtection="0"/>
    <xf numFmtId="0" fontId="81" fillId="59" borderId="148" applyNumberFormat="0" applyAlignment="0" applyProtection="0"/>
    <xf numFmtId="0" fontId="12" fillId="0" borderId="141">
      <alignment horizontal="left" vertical="center"/>
    </xf>
    <xf numFmtId="0" fontId="81" fillId="59" borderId="148" applyNumberFormat="0" applyAlignment="0" applyProtection="0"/>
    <xf numFmtId="0" fontId="81" fillId="59" borderId="148" applyNumberFormat="0" applyAlignment="0" applyProtection="0"/>
    <xf numFmtId="0" fontId="85" fillId="0" borderId="136" applyNumberFormat="0" applyFill="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12" fillId="0" borderId="141">
      <alignment horizontal="left" vertical="center"/>
    </xf>
    <xf numFmtId="0" fontId="85" fillId="0" borderId="136" applyNumberFormat="0" applyFill="0" applyAlignment="0" applyProtection="0"/>
    <xf numFmtId="0" fontId="85" fillId="0" borderId="136" applyNumberFormat="0" applyFill="0" applyAlignment="0" applyProtection="0"/>
    <xf numFmtId="0" fontId="85" fillId="0" borderId="136" applyNumberFormat="0" applyFill="0" applyAlignment="0" applyProtection="0"/>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10" fontId="11" fillId="3" borderId="147" applyNumberFormat="0" applyBorder="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12" fillId="0" borderId="152">
      <alignment horizontal="left" vertical="center"/>
    </xf>
    <xf numFmtId="0" fontId="12" fillId="0" borderId="152">
      <alignment horizontal="left" vertical="center"/>
    </xf>
    <xf numFmtId="0" fontId="71" fillId="46" borderId="148" applyNumberFormat="0" applyAlignment="0" applyProtection="0"/>
    <xf numFmtId="0" fontId="81" fillId="59" borderId="148" applyNumberForma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12" fillId="0" borderId="152">
      <alignment horizontal="left" vertical="center"/>
    </xf>
    <xf numFmtId="0" fontId="90" fillId="59" borderId="150" applyNumberFormat="0" applyAlignment="0" applyProtection="0"/>
    <xf numFmtId="0" fontId="81" fillId="59" borderId="148" applyNumberFormat="0" applyAlignment="0" applyProtection="0"/>
    <xf numFmtId="0" fontId="81" fillId="59" borderId="148" applyNumberFormat="0" applyAlignment="0" applyProtection="0"/>
    <xf numFmtId="0" fontId="76" fillId="0" borderId="151" applyNumberFormat="0" applyFill="0" applyAlignment="0" applyProtection="0"/>
    <xf numFmtId="0" fontId="88" fillId="0" borderId="137" applyNumberFormat="0" applyFill="0" applyAlignment="0" applyProtection="0"/>
    <xf numFmtId="0" fontId="90" fillId="59" borderId="150" applyNumberFormat="0" applyAlignment="0" applyProtection="0"/>
    <xf numFmtId="0" fontId="81" fillId="59" borderId="148" applyNumberFormat="0" applyAlignment="0" applyProtection="0"/>
    <xf numFmtId="0" fontId="81" fillId="59" borderId="132" applyNumberFormat="0" applyAlignment="0" applyProtection="0"/>
    <xf numFmtId="0" fontId="81" fillId="59" borderId="148" applyNumberFormat="0" applyAlignment="0" applyProtection="0"/>
    <xf numFmtId="0" fontId="81" fillId="59"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64" fillId="59" borderId="148" applyNumberFormat="0" applyAlignment="0" applyProtection="0"/>
    <xf numFmtId="0" fontId="81" fillId="59" borderId="148" applyNumberForma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12" fillId="0" borderId="2">
      <alignment horizontal="left" vertical="center"/>
    </xf>
    <xf numFmtId="0" fontId="81" fillId="59" borderId="148" applyNumberFormat="0" applyAlignment="0" applyProtection="0"/>
    <xf numFmtId="0" fontId="85" fillId="0" borderId="136" applyNumberFormat="0" applyFill="0" applyAlignment="0" applyProtection="0"/>
    <xf numFmtId="0" fontId="90" fillId="59" borderId="150" applyNumberFormat="0" applyAlignment="0" applyProtection="0"/>
    <xf numFmtId="0" fontId="12" fillId="0" borderId="152">
      <alignment horizontal="left" vertical="center"/>
    </xf>
    <xf numFmtId="0" fontId="90" fillId="59" borderId="150" applyNumberFormat="0" applyAlignment="0" applyProtection="0"/>
    <xf numFmtId="0" fontId="90" fillId="59" borderId="150"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12" fillId="0" borderId="2">
      <alignment horizontal="left" vertical="center"/>
    </xf>
    <xf numFmtId="0" fontId="76" fillId="0" borderId="151" applyNumberFormat="0" applyFill="0" applyAlignment="0" applyProtection="0"/>
    <xf numFmtId="0" fontId="71" fillId="46" borderId="148" applyNumberFormat="0" applyAlignment="0" applyProtection="0"/>
    <xf numFmtId="0" fontId="64" fillId="59" borderId="148" applyNumberForma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12" fillId="0" borderId="152">
      <alignment horizontal="left" vertical="center"/>
    </xf>
    <xf numFmtId="0" fontId="81" fillId="59" borderId="132" applyNumberFormat="0" applyAlignment="0" applyProtection="0"/>
    <xf numFmtId="0" fontId="81" fillId="59" borderId="132" applyNumberFormat="0" applyAlignment="0" applyProtection="0"/>
    <xf numFmtId="0" fontId="88" fillId="0" borderId="137" applyNumberFormat="0" applyFill="0" applyAlignment="0" applyProtection="0"/>
    <xf numFmtId="0" fontId="81" fillId="59" borderId="148" applyNumberFormat="0" applyAlignment="0" applyProtection="0"/>
    <xf numFmtId="0" fontId="81" fillId="59" borderId="148" applyNumberFormat="0" applyAlignment="0" applyProtection="0"/>
    <xf numFmtId="0" fontId="87" fillId="46" borderId="132"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0" fillId="59" borderId="150" applyNumberForma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81" fillId="59" borderId="148" applyNumberFormat="0" applyAlignment="0" applyProtection="0"/>
    <xf numFmtId="0" fontId="90" fillId="59" borderId="150" applyNumberFormat="0" applyAlignment="0" applyProtection="0"/>
    <xf numFmtId="0" fontId="90" fillId="59" borderId="150" applyNumberFormat="0" applyAlignment="0" applyProtection="0"/>
    <xf numFmtId="0" fontId="81" fillId="59" borderId="132"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64"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12" fillId="0" borderId="2">
      <alignment horizontal="left" vertical="center"/>
    </xf>
    <xf numFmtId="0" fontId="12" fillId="0" borderId="2">
      <alignment horizontal="left" vertical="center"/>
    </xf>
    <xf numFmtId="0" fontId="87" fillId="46" borderId="132" applyNumberFormat="0" applyAlignment="0" applyProtection="0"/>
    <xf numFmtId="0" fontId="76" fillId="0" borderId="140" applyNumberFormat="0" applyFill="0" applyAlignment="0" applyProtection="0"/>
    <xf numFmtId="0" fontId="11" fillId="62" borderId="138" applyNumberFormat="0" applyFont="0" applyAlignment="0" applyProtection="0"/>
    <xf numFmtId="0" fontId="81" fillId="59" borderId="132" applyNumberFormat="0" applyAlignment="0" applyProtection="0"/>
    <xf numFmtId="0" fontId="76" fillId="0" borderId="140" applyNumberFormat="0" applyFill="0" applyAlignment="0" applyProtection="0"/>
    <xf numFmtId="0" fontId="74" fillId="59" borderId="139" applyNumberFormat="0" applyAlignment="0" applyProtection="0"/>
    <xf numFmtId="0" fontId="64" fillId="59" borderId="148" applyNumberFormat="0" applyAlignment="0" applyProtection="0"/>
    <xf numFmtId="0" fontId="71" fillId="46" borderId="148" applyNumberFormat="0" applyAlignment="0" applyProtection="0"/>
    <xf numFmtId="0" fontId="11" fillId="62" borderId="149" applyNumberFormat="0" applyFont="0" applyAlignment="0" applyProtection="0"/>
    <xf numFmtId="0" fontId="74" fillId="59" borderId="150" applyNumberFormat="0" applyAlignment="0" applyProtection="0"/>
    <xf numFmtId="0" fontId="76" fillId="0" borderId="151" applyNumberFormat="0" applyFill="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10" fontId="11" fillId="3" borderId="147" applyNumberFormat="0" applyBorder="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81" fillId="59" borderId="132" applyNumberFormat="0" applyAlignment="0" applyProtection="0"/>
    <xf numFmtId="0" fontId="71" fillId="46" borderId="132" applyNumberFormat="0" applyAlignment="0" applyProtection="0"/>
    <xf numFmtId="0" fontId="12" fillId="0" borderId="2">
      <alignment horizontal="left" vertical="center"/>
    </xf>
    <xf numFmtId="0" fontId="64" fillId="59" borderId="148" applyNumberFormat="0" applyAlignment="0" applyProtection="0"/>
    <xf numFmtId="0" fontId="71" fillId="46" borderId="148" applyNumberFormat="0" applyAlignment="0" applyProtection="0"/>
    <xf numFmtId="0" fontId="11" fillId="62" borderId="149" applyNumberFormat="0" applyFont="0" applyAlignment="0" applyProtection="0"/>
    <xf numFmtId="0" fontId="74" fillId="59" borderId="150" applyNumberFormat="0" applyAlignment="0" applyProtection="0"/>
    <xf numFmtId="0" fontId="76" fillId="0" borderId="151" applyNumberFormat="0" applyFill="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81" fillId="59" borderId="148" applyNumberFormat="0" applyAlignment="0" applyProtection="0"/>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0" fontId="12" fillId="0" borderId="152">
      <alignment horizontal="left" vertical="center"/>
    </xf>
    <xf numFmtId="10" fontId="11" fillId="3" borderId="147" applyNumberFormat="0" applyBorder="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87" fillId="46" borderId="148" applyNumberForma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 fillId="62" borderId="149" applyNumberFormat="0" applyFon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90" fillId="59" borderId="150" applyNumberFormat="0" applyAlignment="0" applyProtection="0"/>
    <xf numFmtId="0" fontId="87" fillId="46" borderId="132" applyNumberFormat="0" applyAlignment="0" applyProtection="0"/>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10" fontId="11" fillId="3" borderId="3" applyNumberFormat="0" applyBorder="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1" fillId="0" borderId="0"/>
    <xf numFmtId="0" fontId="64" fillId="59" borderId="132" applyNumberFormat="0" applyAlignment="0" applyProtection="0"/>
    <xf numFmtId="0" fontId="71" fillId="46" borderId="132" applyNumberFormat="0" applyAlignment="0" applyProtection="0"/>
    <xf numFmtId="0" fontId="11" fillId="62" borderId="138" applyNumberFormat="0" applyFont="0" applyAlignment="0" applyProtection="0"/>
    <xf numFmtId="0" fontId="74" fillId="59" borderId="139" applyNumberFormat="0" applyAlignment="0" applyProtection="0"/>
    <xf numFmtId="0" fontId="76" fillId="0" borderId="140" applyNumberFormat="0" applyFill="0" applyAlignment="0" applyProtection="0"/>
    <xf numFmtId="0" fontId="1" fillId="0" borderId="0"/>
    <xf numFmtId="0" fontId="1" fillId="0" borderId="0"/>
    <xf numFmtId="0" fontId="1" fillId="0" borderId="0"/>
    <xf numFmtId="10" fontId="1" fillId="0" borderId="0" applyFont="0" applyFill="0" applyBorder="0" applyAlignment="0" applyProtection="0"/>
    <xf numFmtId="44" fontId="1" fillId="0" borderId="0" applyFont="0" applyFill="0" applyBorder="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43" fontId="1" fillId="0" borderId="0" applyFont="0" applyFill="0" applyBorder="0" applyAlignment="0" applyProtection="0"/>
    <xf numFmtId="5" fontId="1" fillId="0" borderId="0" applyFont="0" applyFill="0" applyBorder="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1" fillId="0" borderId="0"/>
    <xf numFmtId="0" fontId="1" fillId="0" borderId="0"/>
    <xf numFmtId="0" fontId="1" fillId="0" borderId="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182"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82" fontId="1" fillId="0" borderId="0"/>
    <xf numFmtId="182" fontId="1" fillId="0" borderId="0"/>
    <xf numFmtId="1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64" fillId="59" borderId="132" applyNumberFormat="0" applyAlignment="0" applyProtection="0"/>
    <xf numFmtId="0" fontId="71" fillId="46" borderId="132" applyNumberFormat="0" applyAlignment="0" applyProtection="0"/>
    <xf numFmtId="0" fontId="11" fillId="62" borderId="138" applyNumberFormat="0" applyFont="0" applyAlignment="0" applyProtection="0"/>
    <xf numFmtId="0" fontId="74" fillId="59" borderId="139" applyNumberFormat="0" applyAlignment="0" applyProtection="0"/>
    <xf numFmtId="0" fontId="76" fillId="0" borderId="140" applyNumberFormat="0" applyFill="0" applyAlignment="0" applyProtection="0"/>
    <xf numFmtId="0" fontId="1" fillId="0" borderId="0"/>
    <xf numFmtId="0" fontId="1" fillId="0" borderId="0"/>
    <xf numFmtId="0" fontId="1" fillId="0" borderId="0"/>
    <xf numFmtId="10" fontId="1" fillId="0" borderId="0" applyFont="0" applyFill="0" applyBorder="0" applyAlignment="0" applyProtection="0"/>
    <xf numFmtId="44" fontId="1" fillId="0" borderId="0" applyFont="0" applyFill="0" applyBorder="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43" fontId="1" fillId="0" borderId="0" applyFont="0" applyFill="0" applyBorder="0" applyAlignment="0" applyProtection="0"/>
    <xf numFmtId="5" fontId="1" fillId="0" borderId="0" applyFont="0" applyFill="0" applyBorder="0" applyAlignment="0" applyProtection="0"/>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10" fontId="11" fillId="3" borderId="3" applyNumberFormat="0" applyBorder="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1" fillId="0" borderId="0"/>
    <xf numFmtId="0" fontId="1" fillId="0" borderId="0"/>
    <xf numFmtId="0" fontId="1" fillId="0" borderId="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182"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82" fontId="1" fillId="0" borderId="0"/>
    <xf numFmtId="182" fontId="1" fillId="0" borderId="0"/>
    <xf numFmtId="1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81" fillId="59" borderId="132" applyNumberFormat="0" applyAlignment="0" applyProtection="0"/>
    <xf numFmtId="0" fontId="11" fillId="62" borderId="138" applyNumberFormat="0" applyFont="0" applyAlignment="0" applyProtection="0"/>
    <xf numFmtId="0" fontId="90" fillId="59" borderId="139" applyNumberFormat="0" applyAlignment="0" applyProtection="0"/>
    <xf numFmtId="0" fontId="9" fillId="62" borderId="138" applyNumberFormat="0" applyFont="0" applyAlignment="0" applyProtection="0"/>
    <xf numFmtId="0" fontId="87" fillId="46" borderId="132" applyNumberFormat="0" applyAlignment="0" applyProtection="0"/>
    <xf numFmtId="0" fontId="12" fillId="0" borderId="2">
      <alignment horizontal="left" vertical="center"/>
    </xf>
    <xf numFmtId="0" fontId="64" fillId="59" borderId="132" applyNumberFormat="0" applyAlignment="0" applyProtection="0"/>
    <xf numFmtId="0" fontId="87" fillId="46" borderId="132" applyNumberFormat="0" applyAlignment="0" applyProtection="0"/>
    <xf numFmtId="0" fontId="87" fillId="46" borderId="132" applyNumberFormat="0" applyAlignment="0" applyProtection="0"/>
    <xf numFmtId="0" fontId="71" fillId="46" borderId="132" applyNumberFormat="0" applyAlignment="0" applyProtection="0"/>
    <xf numFmtId="0" fontId="72" fillId="0" borderId="137" applyNumberFormat="0" applyFill="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11" fillId="62" borderId="138" applyNumberFormat="0" applyFont="0" applyAlignment="0" applyProtection="0"/>
    <xf numFmtId="0" fontId="74" fillId="59" borderId="139" applyNumberFormat="0" applyAlignment="0" applyProtection="0"/>
    <xf numFmtId="10" fontId="11" fillId="3" borderId="3" applyNumberFormat="0" applyBorder="0" applyAlignment="0" applyProtection="0"/>
    <xf numFmtId="0" fontId="76" fillId="0" borderId="140" applyNumberFormat="0" applyFill="0" applyAlignment="0" applyProtection="0"/>
    <xf numFmtId="0" fontId="1" fillId="0" borderId="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1" fillId="59" borderId="132" applyNumberFormat="0" applyAlignment="0" applyProtection="0"/>
    <xf numFmtId="0" fontId="12" fillId="0" borderId="141">
      <alignment horizontal="left" vertical="center"/>
    </xf>
    <xf numFmtId="0" fontId="81" fillId="59" borderId="132" applyNumberFormat="0" applyAlignment="0" applyProtection="0"/>
    <xf numFmtId="0" fontId="1" fillId="0" borderId="0"/>
    <xf numFmtId="0" fontId="81" fillId="59" borderId="132" applyNumberFormat="0" applyAlignment="0" applyProtection="0"/>
    <xf numFmtId="0" fontId="1" fillId="0" borderId="0"/>
    <xf numFmtId="10" fontId="1" fillId="0" borderId="0" applyFont="0" applyFill="0" applyBorder="0" applyAlignment="0" applyProtection="0"/>
    <xf numFmtId="0" fontId="9" fillId="62" borderId="138" applyNumberFormat="0" applyFont="0" applyAlignment="0" applyProtection="0"/>
    <xf numFmtId="0" fontId="87" fillId="46" borderId="132" applyNumberFormat="0" applyAlignment="0" applyProtection="0"/>
    <xf numFmtId="44" fontId="1" fillId="0" borderId="0" applyFont="0" applyFill="0" applyBorder="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7" fillId="46" borderId="132" applyNumberFormat="0" applyAlignment="0" applyProtection="0"/>
    <xf numFmtId="0" fontId="81" fillId="59" borderId="132" applyNumberFormat="0" applyAlignment="0" applyProtection="0"/>
    <xf numFmtId="0" fontId="76" fillId="0" borderId="140" applyNumberFormat="0" applyFill="0" applyAlignment="0" applyProtection="0"/>
    <xf numFmtId="0" fontId="74" fillId="59" borderId="139" applyNumberFormat="0" applyAlignment="0" applyProtection="0"/>
    <xf numFmtId="0" fontId="71" fillId="46" borderId="132" applyNumberFormat="0" applyAlignment="0" applyProtection="0"/>
    <xf numFmtId="0" fontId="64" fillId="59" borderId="132" applyNumberFormat="0" applyAlignment="0" applyProtection="0"/>
    <xf numFmtId="0" fontId="81" fillId="59" borderId="132" applyNumberFormat="0" applyAlignment="0" applyProtection="0"/>
    <xf numFmtId="0" fontId="87" fillId="46" borderId="132" applyNumberFormat="0" applyAlignment="0" applyProtection="0"/>
    <xf numFmtId="0" fontId="81" fillId="59" borderId="132" applyNumberFormat="0" applyAlignment="0" applyProtection="0"/>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76" fillId="0" borderId="140" applyNumberFormat="0" applyFill="0" applyAlignment="0" applyProtection="0"/>
    <xf numFmtId="0" fontId="11" fillId="62" borderId="138" applyNumberFormat="0" applyFont="0" applyAlignment="0" applyProtection="0"/>
    <xf numFmtId="0" fontId="71" fillId="46" borderId="132" applyNumberFormat="0" applyAlignment="0" applyProtection="0"/>
    <xf numFmtId="0" fontId="64" fillId="59" borderId="132" applyNumberFormat="0" applyAlignment="0" applyProtection="0"/>
    <xf numFmtId="0" fontId="74" fillId="59" borderId="139" applyNumberFormat="0" applyAlignment="0" applyProtection="0"/>
    <xf numFmtId="0" fontId="11" fillId="62" borderId="138" applyNumberFormat="0" applyFont="0" applyAlignment="0" applyProtection="0"/>
    <xf numFmtId="0" fontId="74" fillId="59" borderId="139" applyNumberFormat="0" applyAlignment="0" applyProtection="0"/>
    <xf numFmtId="0" fontId="81" fillId="59" borderId="132"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11" fillId="62" borderId="138" applyNumberFormat="0" applyFon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12" fillId="0" borderId="141">
      <alignment horizontal="left" vertical="center"/>
    </xf>
    <xf numFmtId="0" fontId="12" fillId="0" borderId="141">
      <alignment horizontal="left" vertical="center"/>
    </xf>
    <xf numFmtId="0" fontId="81" fillId="59" borderId="132" applyNumberFormat="0" applyAlignment="0" applyProtection="0"/>
    <xf numFmtId="0" fontId="81" fillId="59" borderId="132" applyNumberFormat="0" applyAlignment="0" applyProtection="0"/>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10" fontId="11" fillId="3" borderId="3" applyNumberFormat="0" applyBorder="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43" fontId="1" fillId="0" borderId="0" applyFont="0" applyFill="0" applyBorder="0" applyAlignment="0" applyProtection="0"/>
    <xf numFmtId="5" fontId="1" fillId="0" borderId="0" applyFont="0" applyFill="0" applyBorder="0" applyAlignment="0" applyProtection="0"/>
    <xf numFmtId="0" fontId="9" fillId="62" borderId="138" applyNumberFormat="0" applyFont="0" applyAlignment="0" applyProtection="0"/>
    <xf numFmtId="0" fontId="9" fillId="62" borderId="138" applyNumberFormat="0" applyFont="0" applyAlignment="0" applyProtection="0"/>
    <xf numFmtId="0" fontId="90" fillId="59" borderId="139" applyNumberFormat="0" applyAlignment="0" applyProtection="0"/>
    <xf numFmtId="0" fontId="81" fillId="59" borderId="132" applyNumberFormat="0" applyAlignment="0" applyProtection="0"/>
    <xf numFmtId="0" fontId="81" fillId="59" borderId="132" applyNumberFormat="0" applyAlignment="0" applyProtection="0"/>
    <xf numFmtId="0" fontId="71" fillId="46" borderId="132" applyNumberFormat="0" applyAlignment="0" applyProtection="0"/>
    <xf numFmtId="0" fontId="90" fillId="59" borderId="139" applyNumberFormat="0" applyAlignment="0" applyProtection="0"/>
    <xf numFmtId="0" fontId="81" fillId="59" borderId="132" applyNumberFormat="0" applyAlignment="0" applyProtection="0"/>
    <xf numFmtId="0" fontId="81" fillId="59" borderId="132" applyNumberFormat="0" applyAlignment="0" applyProtection="0"/>
    <xf numFmtId="0" fontId="90" fillId="59" borderId="139" applyNumberFormat="0" applyAlignment="0" applyProtection="0"/>
    <xf numFmtId="0" fontId="9" fillId="62" borderId="138" applyNumberFormat="0" applyFont="0" applyAlignment="0" applyProtection="0"/>
    <xf numFmtId="0" fontId="64" fillId="59" borderId="132" applyNumberFormat="0" applyAlignment="0" applyProtection="0"/>
    <xf numFmtId="0" fontId="71" fillId="46" borderId="132" applyNumberFormat="0" applyAlignment="0" applyProtection="0"/>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81" fillId="59" borderId="132" applyNumberFormat="0" applyAlignment="0" applyProtection="0"/>
    <xf numFmtId="0" fontId="11" fillId="62" borderId="138" applyNumberFormat="0" applyFont="0" applyAlignment="0" applyProtection="0"/>
    <xf numFmtId="0" fontId="74" fillId="59" borderId="139" applyNumberFormat="0" applyAlignment="0" applyProtection="0"/>
    <xf numFmtId="0" fontId="76" fillId="0" borderId="140" applyNumberFormat="0" applyFill="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10" fontId="11" fillId="3" borderId="3" applyNumberFormat="0" applyBorder="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9" fillId="62" borderId="138" applyNumberFormat="0" applyFont="0" applyAlignment="0" applyProtection="0"/>
    <xf numFmtId="0" fontId="9" fillId="62" borderId="138" applyNumberFormat="0" applyFont="0" applyAlignment="0" applyProtection="0"/>
    <xf numFmtId="0" fontId="81" fillId="59"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88" fillId="0" borderId="137" applyNumberFormat="0" applyFill="0" applyAlignment="0" applyProtection="0"/>
    <xf numFmtId="0" fontId="12" fillId="0" borderId="2">
      <alignment horizontal="left" vertical="center"/>
    </xf>
    <xf numFmtId="0" fontId="87" fillId="46" borderId="132" applyNumberFormat="0" applyAlignment="0" applyProtection="0"/>
    <xf numFmtId="0" fontId="9" fillId="62" borderId="138" applyNumberFormat="0" applyFont="0" applyAlignment="0" applyProtection="0"/>
    <xf numFmtId="0" fontId="81" fillId="59" borderId="132" applyNumberFormat="0" applyAlignment="0" applyProtection="0"/>
    <xf numFmtId="0" fontId="90" fillId="59" borderId="139" applyNumberFormat="0" applyAlignment="0" applyProtection="0"/>
    <xf numFmtId="0" fontId="12" fillId="0" borderId="2">
      <alignment horizontal="left" vertical="center"/>
    </xf>
    <xf numFmtId="0" fontId="90" fillId="59" borderId="139" applyNumberFormat="0" applyAlignment="0" applyProtection="0"/>
    <xf numFmtId="0" fontId="87" fillId="46" borderId="132" applyNumberFormat="0" applyAlignment="0" applyProtection="0"/>
    <xf numFmtId="0" fontId="12" fillId="0" borderId="2">
      <alignment horizontal="left" vertical="center"/>
    </xf>
    <xf numFmtId="0" fontId="12" fillId="0" borderId="2">
      <alignment horizontal="left" vertical="center"/>
    </xf>
    <xf numFmtId="0" fontId="64" fillId="59" borderId="132" applyNumberFormat="0" applyAlignment="0" applyProtection="0"/>
    <xf numFmtId="0" fontId="71" fillId="46" borderId="132" applyNumberFormat="0" applyAlignment="0" applyProtection="0"/>
    <xf numFmtId="0" fontId="74" fillId="59" borderId="139" applyNumberFormat="0" applyAlignment="0" applyProtection="0"/>
    <xf numFmtId="0" fontId="76" fillId="0" borderId="140" applyNumberFormat="0" applyFill="0" applyAlignment="0" applyProtection="0"/>
    <xf numFmtId="0" fontId="81" fillId="59" borderId="132" applyNumberFormat="0" applyAlignment="0" applyProtection="0"/>
    <xf numFmtId="0" fontId="1" fillId="0" borderId="0"/>
    <xf numFmtId="0" fontId="1" fillId="0" borderId="0"/>
    <xf numFmtId="0" fontId="1" fillId="0" borderId="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81" fillId="59" borderId="132" applyNumberFormat="0" applyAlignment="0" applyProtection="0"/>
    <xf numFmtId="0" fontId="81" fillId="59" borderId="132" applyNumberFormat="0" applyAlignment="0" applyProtection="0"/>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10" fontId="11" fillId="3" borderId="3" applyNumberFormat="0" applyBorder="0" applyAlignment="0" applyProtection="0"/>
    <xf numFmtId="0" fontId="12" fillId="0" borderId="141">
      <alignment horizontal="left" vertical="center"/>
    </xf>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9" fontId="1" fillId="0" borderId="0" applyFont="0" applyFill="0" applyBorder="0" applyAlignment="0" applyProtection="0"/>
    <xf numFmtId="0" fontId="81" fillId="59" borderId="132" applyNumberFormat="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81" fillId="59" borderId="132" applyNumberFormat="0" applyAlignment="0" applyProtection="0"/>
    <xf numFmtId="0" fontId="74" fillId="59" borderId="139" applyNumberFormat="0" applyAlignment="0" applyProtection="0"/>
    <xf numFmtId="0" fontId="11" fillId="62" borderId="138" applyNumberFormat="0" applyFont="0" applyAlignment="0" applyProtection="0"/>
    <xf numFmtId="0" fontId="71" fillId="46" borderId="132" applyNumberFormat="0" applyAlignment="0" applyProtection="0"/>
    <xf numFmtId="0" fontId="9" fillId="62" borderId="138" applyNumberFormat="0" applyFont="0" applyAlignment="0" applyProtection="0"/>
    <xf numFmtId="0" fontId="81" fillId="59" borderId="132" applyNumberFormat="0" applyAlignment="0" applyProtection="0"/>
    <xf numFmtId="0" fontId="87" fillId="46" borderId="132" applyNumberFormat="0" applyAlignment="0" applyProtection="0"/>
    <xf numFmtId="0" fontId="64" fillId="59" borderId="132" applyNumberFormat="0" applyAlignment="0" applyProtection="0"/>
    <xf numFmtId="0" fontId="12" fillId="0" borderId="2">
      <alignment horizontal="left" vertical="center"/>
    </xf>
    <xf numFmtId="0" fontId="87" fillId="46" borderId="132" applyNumberFormat="0" applyAlignment="0" applyProtection="0"/>
    <xf numFmtId="0" fontId="81" fillId="59" borderId="132" applyNumberFormat="0" applyAlignment="0" applyProtection="0"/>
    <xf numFmtId="0" fontId="81" fillId="59" borderId="132" applyNumberFormat="0" applyAlignment="0" applyProtection="0"/>
    <xf numFmtId="0" fontId="87" fillId="46" borderId="132" applyNumberFormat="0" applyAlignment="0" applyProtection="0"/>
    <xf numFmtId="0" fontId="81" fillId="59" borderId="132" applyNumberFormat="0" applyAlignment="0" applyProtection="0"/>
    <xf numFmtId="0" fontId="9" fillId="62" borderId="138" applyNumberFormat="0" applyFont="0" applyAlignment="0" applyProtection="0"/>
    <xf numFmtId="0" fontId="74" fillId="59" borderId="139" applyNumberFormat="0" applyAlignment="0" applyProtection="0"/>
    <xf numFmtId="0" fontId="81" fillId="59" borderId="132" applyNumberFormat="0" applyAlignment="0" applyProtection="0"/>
    <xf numFmtId="0" fontId="81" fillId="59" borderId="132" applyNumberFormat="0" applyAlignment="0" applyProtection="0"/>
    <xf numFmtId="0" fontId="1" fillId="0" borderId="0"/>
    <xf numFmtId="0" fontId="1" fillId="0" borderId="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7" fillId="46" borderId="132" applyNumberFormat="0" applyAlignment="0" applyProtection="0"/>
    <xf numFmtId="182"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82" fontId="1" fillId="0" borderId="0"/>
    <xf numFmtId="182" fontId="1" fillId="0" borderId="0"/>
    <xf numFmtId="10" fontId="1" fillId="0" borderId="0" applyFont="0" applyFill="0" applyBorder="0" applyAlignment="0" applyProtection="0"/>
    <xf numFmtId="0" fontId="11" fillId="62" borderId="138" applyNumberFormat="0" applyFont="0" applyAlignment="0" applyProtection="0"/>
    <xf numFmtId="0" fontId="12" fillId="0" borderId="141">
      <alignment horizontal="left" vertical="center"/>
    </xf>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81" fillId="59" borderId="132" applyNumberFormat="0" applyAlignment="0" applyProtection="0"/>
    <xf numFmtId="0" fontId="1" fillId="0" borderId="0"/>
    <xf numFmtId="0" fontId="64" fillId="59" borderId="132" applyNumberFormat="0" applyAlignment="0" applyProtection="0"/>
    <xf numFmtId="0" fontId="87" fillId="46" borderId="132" applyNumberFormat="0" applyAlignment="0" applyProtection="0"/>
    <xf numFmtId="0" fontId="71" fillId="46" borderId="132" applyNumberFormat="0" applyAlignment="0" applyProtection="0"/>
    <xf numFmtId="0" fontId="81" fillId="59" borderId="132" applyNumberFormat="0" applyAlignment="0" applyProtection="0"/>
    <xf numFmtId="0" fontId="11" fillId="62" borderId="138" applyNumberFormat="0" applyFont="0" applyAlignment="0" applyProtection="0"/>
    <xf numFmtId="0" fontId="74" fillId="59" borderId="139" applyNumberFormat="0" applyAlignment="0" applyProtection="0"/>
    <xf numFmtId="0" fontId="76" fillId="0" borderId="140" applyNumberFormat="0" applyFill="0" applyAlignment="0" applyProtection="0"/>
    <xf numFmtId="0" fontId="1" fillId="0" borderId="0"/>
    <xf numFmtId="0" fontId="9" fillId="62" borderId="138" applyNumberFormat="0" applyFont="0" applyAlignment="0" applyProtection="0"/>
    <xf numFmtId="0" fontId="81" fillId="59" borderId="132" applyNumberFormat="0" applyAlignment="0" applyProtection="0"/>
    <xf numFmtId="0" fontId="1" fillId="0" borderId="0"/>
    <xf numFmtId="0" fontId="1" fillId="0" borderId="0"/>
    <xf numFmtId="10" fontId="1" fillId="0" borderId="0" applyFont="0" applyFill="0" applyBorder="0" applyAlignment="0" applyProtection="0"/>
    <xf numFmtId="0" fontId="9" fillId="62" borderId="138" applyNumberFormat="0" applyFont="0" applyAlignment="0" applyProtection="0"/>
    <xf numFmtId="44" fontId="1" fillId="0" borderId="0" applyFont="0" applyFill="0" applyBorder="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43" fontId="1" fillId="0" borderId="0" applyFont="0" applyFill="0" applyBorder="0" applyAlignment="0" applyProtection="0"/>
    <xf numFmtId="5" fontId="1" fillId="0" borderId="0" applyFont="0" applyFill="0" applyBorder="0" applyAlignment="0" applyProtection="0"/>
    <xf numFmtId="0" fontId="64" fillId="59" borderId="132" applyNumberFormat="0" applyAlignment="0" applyProtection="0"/>
    <xf numFmtId="0" fontId="9" fillId="62" borderId="138" applyNumberFormat="0" applyFont="0" applyAlignment="0" applyProtection="0"/>
    <xf numFmtId="0" fontId="81" fillId="59" borderId="132" applyNumberFormat="0" applyAlignment="0" applyProtection="0"/>
    <xf numFmtId="0" fontId="81" fillId="59" borderId="132" applyNumberFormat="0" applyAlignment="0" applyProtection="0"/>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10" fontId="11" fillId="3" borderId="3" applyNumberFormat="0" applyBorder="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90" fillId="59" borderId="139" applyNumberFormat="0" applyAlignment="0" applyProtection="0"/>
    <xf numFmtId="0" fontId="11" fillId="62" borderId="138" applyNumberFormat="0" applyFont="0" applyAlignment="0" applyProtection="0"/>
    <xf numFmtId="0" fontId="81" fillId="59" borderId="132" applyNumberFormat="0" applyAlignment="0" applyProtection="0"/>
    <xf numFmtId="0" fontId="1" fillId="0" borderId="0"/>
    <xf numFmtId="0" fontId="1" fillId="0" borderId="0"/>
    <xf numFmtId="0" fontId="1" fillId="0" borderId="0"/>
    <xf numFmtId="0" fontId="81" fillId="59" borderId="132" applyNumberForma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81" fillId="59" borderId="132" applyNumberFormat="0" applyAlignment="0" applyProtection="0"/>
    <xf numFmtId="182"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82" fontId="1" fillId="0" borderId="0"/>
    <xf numFmtId="182" fontId="1" fillId="0" borderId="0"/>
    <xf numFmtId="1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10" fontId="11" fillId="3" borderId="3" applyNumberFormat="0" applyBorder="0" applyAlignment="0" applyProtection="0"/>
    <xf numFmtId="0" fontId="12" fillId="0" borderId="2">
      <alignment horizontal="left" vertical="center"/>
    </xf>
    <xf numFmtId="0" fontId="81" fillId="59" borderId="132" applyNumberFormat="0" applyAlignment="0" applyProtection="0"/>
    <xf numFmtId="0" fontId="81" fillId="59" borderId="132" applyNumberFormat="0" applyAlignment="0" applyProtection="0"/>
    <xf numFmtId="0" fontId="12" fillId="0" borderId="2">
      <alignment horizontal="left" vertical="center"/>
    </xf>
    <xf numFmtId="0" fontId="81" fillId="59" borderId="132" applyNumberFormat="0" applyAlignment="0" applyProtection="0"/>
    <xf numFmtId="0" fontId="90" fillId="59" borderId="139" applyNumberFormat="0" applyAlignment="0" applyProtection="0"/>
    <xf numFmtId="0" fontId="81" fillId="59" borderId="132" applyNumberFormat="0" applyAlignment="0" applyProtection="0"/>
    <xf numFmtId="0" fontId="87" fillId="46" borderId="132" applyNumberFormat="0" applyAlignment="0" applyProtection="0"/>
    <xf numFmtId="0" fontId="12" fillId="0" borderId="141">
      <alignment horizontal="left" vertical="center"/>
    </xf>
    <xf numFmtId="0" fontId="87" fillId="46" borderId="132" applyNumberFormat="0" applyAlignment="0" applyProtection="0"/>
    <xf numFmtId="0" fontId="90" fillId="59" borderId="139" applyNumberFormat="0" applyAlignment="0" applyProtection="0"/>
    <xf numFmtId="0" fontId="74" fillId="59" borderId="139" applyNumberFormat="0" applyAlignment="0" applyProtection="0"/>
    <xf numFmtId="0" fontId="81" fillId="59" borderId="132" applyNumberFormat="0" applyAlignment="0" applyProtection="0"/>
    <xf numFmtId="0" fontId="12" fillId="0" borderId="2">
      <alignment horizontal="left" vertical="center"/>
    </xf>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7" fillId="46" borderId="132" applyNumberFormat="0" applyAlignment="0" applyProtection="0"/>
    <xf numFmtId="0" fontId="87" fillId="46" borderId="132" applyNumberFormat="0" applyAlignment="0" applyProtection="0"/>
    <xf numFmtId="0" fontId="9" fillId="62" borderId="138" applyNumberFormat="0" applyFon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12" fillId="0" borderId="141">
      <alignment horizontal="left" vertical="center"/>
    </xf>
    <xf numFmtId="0" fontId="81" fillId="59" borderId="132" applyNumberFormat="0" applyAlignment="0" applyProtection="0"/>
    <xf numFmtId="0" fontId="64" fillId="59" borderId="132" applyNumberFormat="0" applyAlignment="0" applyProtection="0"/>
    <xf numFmtId="0" fontId="71" fillId="46" borderId="132" applyNumberFormat="0" applyAlignment="0" applyProtection="0"/>
    <xf numFmtId="0" fontId="11" fillId="62" borderId="138" applyNumberFormat="0" applyFont="0" applyAlignment="0" applyProtection="0"/>
    <xf numFmtId="0" fontId="74" fillId="59" borderId="139" applyNumberFormat="0" applyAlignment="0" applyProtection="0"/>
    <xf numFmtId="0" fontId="76" fillId="0" borderId="140" applyNumberFormat="0" applyFill="0" applyAlignment="0" applyProtection="0"/>
    <xf numFmtId="0" fontId="81" fillId="59" borderId="132" applyNumberFormat="0" applyAlignment="0" applyProtection="0"/>
    <xf numFmtId="0" fontId="12" fillId="0" borderId="141">
      <alignment horizontal="left" vertical="center"/>
    </xf>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12" fillId="0" borderId="141">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10" fontId="11" fillId="3" borderId="3" applyNumberFormat="0" applyBorder="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12" fillId="0" borderId="2">
      <alignment horizontal="left" vertical="center"/>
    </xf>
    <xf numFmtId="0" fontId="12" fillId="0" borderId="2">
      <alignment horizontal="left" vertical="center"/>
    </xf>
    <xf numFmtId="0" fontId="71" fillId="46" borderId="132" applyNumberFormat="0" applyAlignment="0" applyProtection="0"/>
    <xf numFmtId="0" fontId="81" fillId="59" borderId="132" applyNumberForma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12" fillId="0" borderId="2">
      <alignment horizontal="left" vertical="center"/>
    </xf>
    <xf numFmtId="0" fontId="90" fillId="59" borderId="139" applyNumberFormat="0" applyAlignment="0" applyProtection="0"/>
    <xf numFmtId="0" fontId="81" fillId="59" borderId="132" applyNumberFormat="0" applyAlignment="0" applyProtection="0"/>
    <xf numFmtId="0" fontId="81" fillId="59" borderId="132" applyNumberFormat="0" applyAlignment="0" applyProtection="0"/>
    <xf numFmtId="0" fontId="76" fillId="0" borderId="140" applyNumberFormat="0" applyFill="0" applyAlignment="0" applyProtection="0"/>
    <xf numFmtId="0" fontId="90" fillId="59" borderId="139"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64" fillId="59" borderId="132" applyNumberFormat="0" applyAlignment="0" applyProtection="0"/>
    <xf numFmtId="0" fontId="81" fillId="59" borderId="132" applyNumberForma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81" fillId="59" borderId="132" applyNumberFormat="0" applyAlignment="0" applyProtection="0"/>
    <xf numFmtId="0" fontId="90" fillId="59" borderId="139" applyNumberFormat="0" applyAlignment="0" applyProtection="0"/>
    <xf numFmtId="0" fontId="12" fillId="0" borderId="2">
      <alignment horizontal="left" vertical="center"/>
    </xf>
    <xf numFmtId="0" fontId="90" fillId="59" borderId="139" applyNumberFormat="0" applyAlignment="0" applyProtection="0"/>
    <xf numFmtId="0" fontId="90" fillId="59" borderId="139"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76" fillId="0" borderId="140" applyNumberFormat="0" applyFill="0" applyAlignment="0" applyProtection="0"/>
    <xf numFmtId="0" fontId="71" fillId="46" borderId="132" applyNumberFormat="0" applyAlignment="0" applyProtection="0"/>
    <xf numFmtId="0" fontId="64" fillId="59" borderId="132" applyNumberForma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12" fillId="0" borderId="2">
      <alignment horizontal="left" vertical="center"/>
    </xf>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0" fillId="59" borderId="139" applyNumberForma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81" fillId="59" borderId="132" applyNumberFormat="0" applyAlignment="0" applyProtection="0"/>
    <xf numFmtId="0" fontId="90" fillId="59" borderId="139" applyNumberFormat="0" applyAlignment="0" applyProtection="0"/>
    <xf numFmtId="0" fontId="90" fillId="59" borderId="139" applyNumberFormat="0" applyAlignment="0" applyProtection="0"/>
    <xf numFmtId="0" fontId="81" fillId="59"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64"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87" fillId="46" borderId="132" applyNumberFormat="0" applyAlignment="0" applyProtection="0"/>
    <xf numFmtId="0" fontId="76" fillId="0" borderId="140" applyNumberFormat="0" applyFill="0" applyAlignment="0" applyProtection="0"/>
    <xf numFmtId="0" fontId="11" fillId="62" borderId="138" applyNumberFormat="0" applyFont="0" applyAlignment="0" applyProtection="0"/>
    <xf numFmtId="0" fontId="81" fillId="59" borderId="132" applyNumberFormat="0" applyAlignment="0" applyProtection="0"/>
    <xf numFmtId="0" fontId="76" fillId="0" borderId="140" applyNumberFormat="0" applyFill="0" applyAlignment="0" applyProtection="0"/>
    <xf numFmtId="0" fontId="74" fillId="59" borderId="139" applyNumberFormat="0" applyAlignment="0" applyProtection="0"/>
    <xf numFmtId="0" fontId="64" fillId="59" borderId="132" applyNumberFormat="0" applyAlignment="0" applyProtection="0"/>
    <xf numFmtId="0" fontId="71" fillId="46" borderId="132" applyNumberFormat="0" applyAlignment="0" applyProtection="0"/>
    <xf numFmtId="0" fontId="11" fillId="62" borderId="138" applyNumberFormat="0" applyFont="0" applyAlignment="0" applyProtection="0"/>
    <xf numFmtId="0" fontId="74" fillId="59" borderId="139" applyNumberFormat="0" applyAlignment="0" applyProtection="0"/>
    <xf numFmtId="0" fontId="76" fillId="0" borderId="140" applyNumberFormat="0" applyFill="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10" fontId="11" fillId="3" borderId="3" applyNumberFormat="0" applyBorder="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81" fillId="59" borderId="132" applyNumberFormat="0" applyAlignment="0" applyProtection="0"/>
    <xf numFmtId="0" fontId="71" fillId="46" borderId="132" applyNumberFormat="0" applyAlignment="0" applyProtection="0"/>
    <xf numFmtId="0" fontId="64" fillId="59" borderId="132" applyNumberFormat="0" applyAlignment="0" applyProtection="0"/>
    <xf numFmtId="0" fontId="71" fillId="46" borderId="132" applyNumberFormat="0" applyAlignment="0" applyProtection="0"/>
    <xf numFmtId="0" fontId="11" fillId="62" borderId="138" applyNumberFormat="0" applyFont="0" applyAlignment="0" applyProtection="0"/>
    <xf numFmtId="0" fontId="74" fillId="59" borderId="139" applyNumberFormat="0" applyAlignment="0" applyProtection="0"/>
    <xf numFmtId="0" fontId="76" fillId="0" borderId="140" applyNumberFormat="0" applyFill="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81" fillId="59" borderId="132" applyNumberFormat="0" applyAlignment="0" applyProtection="0"/>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10" fontId="11" fillId="3" borderId="3" applyNumberFormat="0" applyBorder="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87" fillId="46" borderId="132" applyNumberFormat="0" applyAlignment="0" applyProtection="0"/>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0" fontId="12" fillId="0" borderId="2">
      <alignment horizontal="left" vertical="center"/>
    </xf>
    <xf numFmtId="10" fontId="11" fillId="3" borderId="3" applyNumberFormat="0" applyBorder="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87" fillId="46" borderId="132" applyNumberForma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 fillId="62" borderId="138" applyNumberFormat="0" applyFon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90" fillId="59" borderId="13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85" fillId="0" borderId="178" applyNumberFormat="0" applyFill="0" applyAlignment="0" applyProtection="0"/>
    <xf numFmtId="0" fontId="81" fillId="59" borderId="196" applyNumberFormat="0" applyAlignment="0" applyProtection="0"/>
    <xf numFmtId="0" fontId="12" fillId="0" borderId="182">
      <alignment horizontal="left" vertical="center"/>
    </xf>
    <xf numFmtId="0" fontId="12" fillId="0" borderId="200">
      <alignment horizontal="left" vertical="center"/>
    </xf>
    <xf numFmtId="0" fontId="81" fillId="59" borderId="196" applyNumberFormat="0" applyAlignment="0" applyProtection="0"/>
    <xf numFmtId="0" fontId="81" fillId="59" borderId="177" applyNumberFormat="0" applyAlignment="0" applyProtection="0"/>
    <xf numFmtId="0" fontId="9" fillId="62" borderId="197" applyNumberFormat="0" applyFont="0" applyAlignment="0" applyProtection="0"/>
    <xf numFmtId="0" fontId="71" fillId="46" borderId="154" applyNumberFormat="0" applyAlignment="0" applyProtection="0"/>
    <xf numFmtId="0" fontId="87" fillId="46" borderId="196" applyNumberFormat="0" applyAlignment="0" applyProtection="0"/>
    <xf numFmtId="0" fontId="12" fillId="0" borderId="206">
      <alignment horizontal="left" vertical="center"/>
    </xf>
    <xf numFmtId="0" fontId="9" fillId="62" borderId="197" applyNumberFormat="0" applyFont="0" applyAlignment="0" applyProtection="0"/>
    <xf numFmtId="0" fontId="81" fillId="59" borderId="196" applyNumberFormat="0" applyAlignment="0" applyProtection="0"/>
    <xf numFmtId="0" fontId="90" fillId="59" borderId="198" applyNumberFormat="0" applyAlignment="0" applyProtection="0"/>
    <xf numFmtId="0" fontId="87" fillId="46" borderId="196" applyNumberFormat="0" applyAlignment="0" applyProtection="0"/>
    <xf numFmtId="0" fontId="11" fillId="62" borderId="155" applyNumberFormat="0" applyFont="0" applyAlignment="0" applyProtection="0"/>
    <xf numFmtId="0" fontId="74" fillId="59" borderId="156" applyNumberFormat="0" applyAlignment="0" applyProtection="0"/>
    <xf numFmtId="0" fontId="87" fillId="46" borderId="202" applyNumberFormat="0" applyAlignment="0" applyProtection="0"/>
    <xf numFmtId="0" fontId="76" fillId="0" borderId="157" applyNumberFormat="0" applyFill="0" applyAlignment="0" applyProtection="0"/>
    <xf numFmtId="0" fontId="9" fillId="62" borderId="197" applyNumberFormat="0" applyFont="0" applyAlignment="0" applyProtection="0"/>
    <xf numFmtId="0" fontId="87" fillId="46" borderId="196"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5" fillId="0" borderId="178" applyNumberFormat="0" applyFill="0" applyAlignment="0" applyProtection="0"/>
    <xf numFmtId="0" fontId="81" fillId="59" borderId="196" applyNumberFormat="0" applyAlignment="0" applyProtection="0"/>
    <xf numFmtId="0" fontId="11" fillId="62" borderId="197" applyNumberFormat="0" applyFont="0" applyAlignment="0" applyProtection="0"/>
    <xf numFmtId="0" fontId="81" fillId="59" borderId="196" applyNumberFormat="0" applyAlignment="0" applyProtection="0"/>
    <xf numFmtId="0" fontId="81" fillId="59" borderId="196"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204" applyNumberFormat="0" applyAlignment="0" applyProtection="0"/>
    <xf numFmtId="0" fontId="87" fillId="46" borderId="196" applyNumberFormat="0" applyAlignment="0" applyProtection="0"/>
    <xf numFmtId="10" fontId="60" fillId="0" borderId="0" applyFont="0" applyFill="0" applyBorder="0" applyAlignment="0" applyProtection="0"/>
    <xf numFmtId="0" fontId="81" fillId="59" borderId="196"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12" fillId="0" borderId="200">
      <alignment horizontal="left" vertical="center"/>
    </xf>
    <xf numFmtId="0" fontId="81" fillId="59" borderId="196" applyNumberFormat="0" applyAlignment="0" applyProtection="0"/>
    <xf numFmtId="0" fontId="87" fillId="46" borderId="202" applyNumberFormat="0" applyAlignment="0" applyProtection="0"/>
    <xf numFmtId="0" fontId="85" fillId="0" borderId="178" applyNumberFormat="0" applyFill="0" applyAlignment="0" applyProtection="0"/>
    <xf numFmtId="0" fontId="9" fillId="62" borderId="197" applyNumberFormat="0" applyFont="0" applyAlignment="0" applyProtection="0"/>
    <xf numFmtId="0" fontId="90" fillId="59" borderId="198" applyNumberFormat="0" applyAlignment="0" applyProtection="0"/>
    <xf numFmtId="0" fontId="81" fillId="59" borderId="189" applyNumberFormat="0" applyAlignment="0" applyProtection="0"/>
    <xf numFmtId="0" fontId="90" fillId="59" borderId="198" applyNumberFormat="0" applyAlignment="0" applyProtection="0"/>
    <xf numFmtId="0" fontId="81" fillId="59" borderId="196" applyNumberFormat="0" applyAlignment="0" applyProtection="0"/>
    <xf numFmtId="0" fontId="87" fillId="46" borderId="196" applyNumberFormat="0" applyAlignment="0" applyProtection="0"/>
    <xf numFmtId="0" fontId="9" fillId="62" borderId="191" applyNumberFormat="0" applyFont="0" applyAlignment="0" applyProtection="0"/>
    <xf numFmtId="0" fontId="87" fillId="46" borderId="196" applyNumberFormat="0" applyAlignment="0" applyProtection="0"/>
    <xf numFmtId="0" fontId="90" fillId="59" borderId="198" applyNumberFormat="0" applyAlignment="0" applyProtection="0"/>
    <xf numFmtId="0" fontId="90" fillId="59" borderId="198"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1" fillId="59" borderId="196" applyNumberFormat="0" applyAlignment="0" applyProtection="0"/>
    <xf numFmtId="0" fontId="90" fillId="59" borderId="198" applyNumberFormat="0" applyAlignment="0" applyProtection="0"/>
    <xf numFmtId="0" fontId="87" fillId="46" borderId="196" applyNumberFormat="0" applyAlignment="0" applyProtection="0"/>
    <xf numFmtId="0" fontId="90" fillId="59" borderId="198" applyNumberFormat="0" applyAlignment="0" applyProtection="0"/>
    <xf numFmtId="0" fontId="12" fillId="0" borderId="200">
      <alignment horizontal="left" vertical="center"/>
    </xf>
    <xf numFmtId="0" fontId="85" fillId="0" borderId="178" applyNumberFormat="0" applyFill="0" applyAlignment="0" applyProtection="0"/>
    <xf numFmtId="0" fontId="87" fillId="46" borderId="196" applyNumberFormat="0" applyAlignment="0" applyProtection="0"/>
    <xf numFmtId="0" fontId="9" fillId="62" borderId="191" applyNumberFormat="0" applyFont="0" applyAlignment="0" applyProtection="0"/>
    <xf numFmtId="0" fontId="81" fillId="59" borderId="196" applyNumberFormat="0" applyAlignment="0" applyProtection="0"/>
    <xf numFmtId="0" fontId="90" fillId="59" borderId="198" applyNumberFormat="0" applyAlignment="0" applyProtection="0"/>
    <xf numFmtId="0" fontId="12" fillId="0" borderId="206">
      <alignment horizontal="left" vertical="center"/>
    </xf>
    <xf numFmtId="0" fontId="87" fillId="46" borderId="196" applyNumberFormat="0" applyAlignment="0" applyProtection="0"/>
    <xf numFmtId="0" fontId="90" fillId="59" borderId="198" applyNumberFormat="0" applyAlignment="0" applyProtection="0"/>
    <xf numFmtId="0" fontId="90" fillId="59" borderId="198" applyNumberFormat="0" applyAlignment="0" applyProtection="0"/>
    <xf numFmtId="0" fontId="87" fillId="46" borderId="196" applyNumberFormat="0" applyAlignment="0" applyProtection="0"/>
    <xf numFmtId="0" fontId="87" fillId="46" borderId="196" applyNumberFormat="0" applyAlignment="0" applyProtection="0"/>
    <xf numFmtId="0" fontId="9" fillId="62" borderId="197" applyNumberFormat="0" applyFont="0" applyAlignment="0" applyProtection="0"/>
    <xf numFmtId="0" fontId="87" fillId="46" borderId="196" applyNumberFormat="0" applyAlignment="0" applyProtection="0"/>
    <xf numFmtId="0" fontId="81" fillId="59" borderId="196"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87" fillId="46" borderId="196" applyNumberFormat="0" applyAlignment="0" applyProtection="0"/>
    <xf numFmtId="0" fontId="87" fillId="46" borderId="196" applyNumberFormat="0" applyAlignment="0" applyProtection="0"/>
    <xf numFmtId="0" fontId="12" fillId="0" borderId="200">
      <alignment horizontal="left" vertical="center"/>
    </xf>
    <xf numFmtId="0" fontId="90" fillId="59" borderId="198" applyNumberFormat="0" applyAlignment="0" applyProtection="0"/>
    <xf numFmtId="0" fontId="87" fillId="46" borderId="196"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64" fillId="59" borderId="189" applyNumberFormat="0" applyAlignment="0" applyProtection="0"/>
    <xf numFmtId="0" fontId="9" fillId="62" borderId="197" applyNumberFormat="0" applyFont="0" applyAlignment="0" applyProtection="0"/>
    <xf numFmtId="0" fontId="81" fillId="59" borderId="202" applyNumberFormat="0" applyAlignment="0" applyProtection="0"/>
    <xf numFmtId="0" fontId="9" fillId="62" borderId="197" applyNumberFormat="0" applyFont="0" applyAlignment="0" applyProtection="0"/>
    <xf numFmtId="0" fontId="87" fillId="46" borderId="196" applyNumberFormat="0" applyAlignment="0" applyProtection="0"/>
    <xf numFmtId="0" fontId="9" fillId="62" borderId="191" applyNumberFormat="0" applyFont="0" applyAlignment="0" applyProtection="0"/>
    <xf numFmtId="0" fontId="81" fillId="59" borderId="189" applyNumberFormat="0" applyAlignment="0" applyProtection="0"/>
    <xf numFmtId="0" fontId="74" fillId="59" borderId="198" applyNumberFormat="0" applyAlignment="0" applyProtection="0"/>
    <xf numFmtId="0" fontId="87" fillId="46" borderId="196" applyNumberFormat="0" applyAlignment="0" applyProtection="0"/>
    <xf numFmtId="0" fontId="87" fillId="46" borderId="196" applyNumberFormat="0" applyAlignment="0" applyProtection="0"/>
    <xf numFmtId="0" fontId="90" fillId="59" borderId="198" applyNumberFormat="0" applyAlignment="0" applyProtection="0"/>
    <xf numFmtId="0" fontId="12" fillId="0" borderId="194">
      <alignment horizontal="left" vertical="center"/>
    </xf>
    <xf numFmtId="10" fontId="11" fillId="3" borderId="207" applyNumberFormat="0" applyBorder="0" applyAlignment="0" applyProtection="0"/>
    <xf numFmtId="0" fontId="81" fillId="59" borderId="208" applyNumberFormat="0" applyAlignment="0" applyProtection="0"/>
    <xf numFmtId="0" fontId="9" fillId="62" borderId="197" applyNumberFormat="0" applyFont="0" applyAlignment="0" applyProtection="0"/>
    <xf numFmtId="0" fontId="12" fillId="0" borderId="218">
      <alignment horizontal="left" vertical="center"/>
    </xf>
    <xf numFmtId="0" fontId="85" fillId="0" borderId="190" applyNumberFormat="0" applyFill="0" applyAlignment="0" applyProtection="0"/>
    <xf numFmtId="0" fontId="85" fillId="0" borderId="190" applyNumberFormat="0" applyFill="0" applyAlignment="0" applyProtection="0"/>
    <xf numFmtId="0" fontId="71" fillId="46"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85" fillId="0" borderId="190" applyNumberFormat="0" applyFill="0" applyAlignment="0" applyProtection="0"/>
    <xf numFmtId="0" fontId="87" fillId="46" borderId="189" applyNumberFormat="0" applyAlignment="0" applyProtection="0"/>
    <xf numFmtId="0" fontId="87" fillId="46" borderId="189" applyNumberFormat="0" applyAlignment="0" applyProtection="0"/>
    <xf numFmtId="0" fontId="87" fillId="46" borderId="189" applyNumberFormat="0" applyAlignment="0" applyProtection="0"/>
    <xf numFmtId="0" fontId="87" fillId="46" borderId="189" applyNumberFormat="0" applyAlignment="0" applyProtection="0"/>
    <xf numFmtId="0" fontId="87" fillId="46" borderId="189" applyNumberFormat="0" applyAlignment="0" applyProtection="0"/>
    <xf numFmtId="0" fontId="87" fillId="46" borderId="189"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10" fontId="11" fillId="3" borderId="176" applyNumberFormat="0" applyBorder="0" applyAlignment="0" applyProtection="0"/>
    <xf numFmtId="0" fontId="12" fillId="0" borderId="182">
      <alignment horizontal="left" vertical="center"/>
    </xf>
    <xf numFmtId="0" fontId="12" fillId="0" borderId="182">
      <alignment horizontal="left" vertical="center"/>
    </xf>
    <xf numFmtId="0" fontId="12" fillId="0" borderId="182">
      <alignment horizontal="left" vertical="center"/>
    </xf>
    <xf numFmtId="0" fontId="12" fillId="0" borderId="182">
      <alignment horizontal="left" vertical="center"/>
    </xf>
    <xf numFmtId="0" fontId="12" fillId="0" borderId="182">
      <alignment horizontal="left" vertical="center"/>
    </xf>
    <xf numFmtId="0" fontId="12" fillId="0" borderId="182">
      <alignment horizontal="left" vertical="center"/>
    </xf>
    <xf numFmtId="0" fontId="12" fillId="0" borderId="182">
      <alignment horizontal="left" vertical="center"/>
    </xf>
    <xf numFmtId="0" fontId="12" fillId="0" borderId="182">
      <alignment horizontal="left" vertical="center"/>
    </xf>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9" fillId="62" borderId="197" applyNumberFormat="0" applyFon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81" fillId="59" borderId="196" applyNumberFormat="0" applyAlignment="0" applyProtection="0"/>
    <xf numFmtId="0" fontId="90" fillId="59" borderId="198" applyNumberFormat="0" applyAlignment="0" applyProtection="0"/>
    <xf numFmtId="0" fontId="81" fillId="59" borderId="196" applyNumberFormat="0" applyAlignment="0" applyProtection="0"/>
    <xf numFmtId="0" fontId="87" fillId="46" borderId="196"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7" fillId="46" borderId="196" applyNumberFormat="0" applyAlignment="0" applyProtection="0"/>
    <xf numFmtId="0" fontId="81" fillId="59" borderId="196" applyNumberFormat="0" applyAlignment="0" applyProtection="0"/>
    <xf numFmtId="0" fontId="81" fillId="59" borderId="196" applyNumberFormat="0" applyAlignment="0" applyProtection="0"/>
    <xf numFmtId="0" fontId="76" fillId="0" borderId="181" applyNumberFormat="0" applyFill="0" applyAlignment="0" applyProtection="0"/>
    <xf numFmtId="0" fontId="74" fillId="59" borderId="180" applyNumberFormat="0" applyAlignment="0" applyProtection="0"/>
    <xf numFmtId="0" fontId="11" fillId="62" borderId="179" applyNumberFormat="0" applyFont="0" applyAlignment="0" applyProtection="0"/>
    <xf numFmtId="0" fontId="71" fillId="46" borderId="177" applyNumberFormat="0" applyAlignment="0" applyProtection="0"/>
    <xf numFmtId="0" fontId="81" fillId="59" borderId="196" applyNumberFormat="0" applyAlignment="0" applyProtection="0"/>
    <xf numFmtId="0" fontId="64" fillId="59" borderId="177" applyNumberFormat="0" applyAlignment="0" applyProtection="0"/>
    <xf numFmtId="0" fontId="81" fillId="59" borderId="196" applyNumberFormat="0" applyAlignment="0" applyProtection="0"/>
    <xf numFmtId="0" fontId="12" fillId="0" borderId="194">
      <alignment horizontal="left" vertical="center"/>
    </xf>
    <xf numFmtId="0" fontId="9" fillId="62" borderId="197" applyNumberFormat="0" applyFont="0" applyAlignment="0" applyProtection="0"/>
    <xf numFmtId="0" fontId="9" fillId="62" borderId="197" applyNumberFormat="0" applyFont="0" applyAlignment="0" applyProtection="0"/>
    <xf numFmtId="0" fontId="12" fillId="0" borderId="218">
      <alignment horizontal="left" vertical="center"/>
    </xf>
    <xf numFmtId="0" fontId="90" fillId="59" borderId="198" applyNumberFormat="0" applyAlignment="0" applyProtection="0"/>
    <xf numFmtId="0" fontId="81" fillId="59" borderId="196" applyNumberFormat="0" applyAlignment="0" applyProtection="0"/>
    <xf numFmtId="0" fontId="85" fillId="0" borderId="190" applyNumberFormat="0" applyFill="0" applyAlignment="0" applyProtection="0"/>
    <xf numFmtId="0" fontId="85" fillId="0" borderId="190" applyNumberFormat="0" applyFill="0" applyAlignment="0" applyProtection="0"/>
    <xf numFmtId="0" fontId="60" fillId="0" borderId="0"/>
    <xf numFmtId="0" fontId="12" fillId="0" borderId="218">
      <alignment horizontal="left" vertical="center"/>
    </xf>
    <xf numFmtId="0" fontId="81" fillId="59" borderId="208" applyNumberFormat="0" applyAlignment="0" applyProtection="0"/>
    <xf numFmtId="0" fontId="81" fillId="59" borderId="208" applyNumberFormat="0" applyAlignment="0" applyProtection="0"/>
    <xf numFmtId="0" fontId="71" fillId="46" borderId="189" applyNumberFormat="0" applyAlignment="0" applyProtection="0"/>
    <xf numFmtId="0" fontId="74" fillId="59" borderId="192" applyNumberFormat="0" applyAlignment="0" applyProtection="0"/>
    <xf numFmtId="0" fontId="76" fillId="0" borderId="193" applyNumberFormat="0" applyFill="0" applyAlignment="0" applyProtection="0"/>
    <xf numFmtId="0" fontId="11" fillId="62" borderId="215" applyNumberFormat="0" applyFont="0" applyAlignment="0" applyProtection="0"/>
    <xf numFmtId="0" fontId="74" fillId="59" borderId="210" applyNumberFormat="0" applyAlignment="0" applyProtection="0"/>
    <xf numFmtId="0" fontId="81" fillId="59" borderId="208" applyNumberFormat="0" applyAlignment="0" applyProtection="0"/>
    <xf numFmtId="0" fontId="81" fillId="59" borderId="208" applyNumberFormat="0" applyAlignment="0" applyProtection="0"/>
    <xf numFmtId="0" fontId="87" fillId="46" borderId="214" applyNumberFormat="0" applyAlignment="0" applyProtection="0"/>
    <xf numFmtId="0" fontId="9" fillId="62" borderId="215" applyNumberFormat="0" applyFont="0" applyAlignment="0" applyProtection="0"/>
    <xf numFmtId="0" fontId="81" fillId="59" borderId="208" applyNumberFormat="0" applyAlignment="0" applyProtection="0"/>
    <xf numFmtId="0" fontId="81" fillId="59" borderId="208" applyNumberFormat="0" applyAlignment="0" applyProtection="0"/>
    <xf numFmtId="0" fontId="74" fillId="59" borderId="210" applyNumberFormat="0" applyAlignment="0" applyProtection="0"/>
    <xf numFmtId="0" fontId="11" fillId="62" borderId="209" applyNumberFormat="0" applyFon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71" fillId="46" borderId="208" applyNumberFormat="0" applyAlignment="0" applyProtection="0"/>
    <xf numFmtId="0" fontId="87" fillId="46" borderId="214" applyNumberFormat="0" applyAlignment="0" applyProtection="0"/>
    <xf numFmtId="0" fontId="87" fillId="46" borderId="214"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85" fillId="0" borderId="190" applyNumberFormat="0" applyFill="0" applyAlignment="0" applyProtection="0"/>
    <xf numFmtId="0" fontId="87" fillId="46" borderId="189" applyNumberFormat="0" applyAlignment="0" applyProtection="0"/>
    <xf numFmtId="0" fontId="87" fillId="46" borderId="189" applyNumberFormat="0" applyAlignment="0" applyProtection="0"/>
    <xf numFmtId="0" fontId="87" fillId="46" borderId="189" applyNumberFormat="0" applyAlignment="0" applyProtection="0"/>
    <xf numFmtId="0" fontId="87" fillId="46" borderId="189" applyNumberFormat="0" applyAlignment="0" applyProtection="0"/>
    <xf numFmtId="0" fontId="87" fillId="46" borderId="189" applyNumberFormat="0" applyAlignment="0" applyProtection="0"/>
    <xf numFmtId="0" fontId="87" fillId="46" borderId="189" applyNumberFormat="0" applyAlignment="0" applyProtection="0"/>
    <xf numFmtId="0" fontId="87" fillId="46" borderId="189" applyNumberFormat="0" applyAlignment="0" applyProtection="0"/>
    <xf numFmtId="0" fontId="87" fillId="46" borderId="189" applyNumberFormat="0" applyAlignment="0" applyProtection="0"/>
    <xf numFmtId="0" fontId="87" fillId="46" borderId="189" applyNumberFormat="0" applyAlignment="0" applyProtection="0"/>
    <xf numFmtId="0" fontId="87" fillId="46" borderId="189" applyNumberFormat="0" applyAlignment="0" applyProtection="0"/>
    <xf numFmtId="0" fontId="81" fillId="59" borderId="154" applyNumberFormat="0" applyAlignment="0" applyProtection="0"/>
    <xf numFmtId="0" fontId="81" fillId="59" borderId="154" applyNumberFormat="0" applyAlignment="0" applyProtection="0"/>
    <xf numFmtId="0" fontId="81" fillId="59" borderId="154" applyNumberFormat="0" applyAlignment="0" applyProtection="0"/>
    <xf numFmtId="0" fontId="81" fillId="59" borderId="154" applyNumberFormat="0" applyAlignment="0" applyProtection="0"/>
    <xf numFmtId="0" fontId="81" fillId="59" borderId="154" applyNumberFormat="0" applyAlignment="0" applyProtection="0"/>
    <xf numFmtId="0" fontId="81" fillId="59" borderId="154" applyNumberFormat="0" applyAlignment="0" applyProtection="0"/>
    <xf numFmtId="0" fontId="81" fillId="59" borderId="154" applyNumberFormat="0" applyAlignment="0" applyProtection="0"/>
    <xf numFmtId="0" fontId="81" fillId="59" borderId="154" applyNumberFormat="0" applyAlignment="0" applyProtection="0"/>
    <xf numFmtId="0" fontId="81" fillId="59" borderId="154" applyNumberFormat="0" applyAlignment="0" applyProtection="0"/>
    <xf numFmtId="0" fontId="81" fillId="59" borderId="154" applyNumberFormat="0" applyAlignment="0" applyProtection="0"/>
    <xf numFmtId="0" fontId="81" fillId="59" borderId="154" applyNumberFormat="0" applyAlignment="0" applyProtection="0"/>
    <xf numFmtId="0" fontId="81" fillId="59" borderId="154" applyNumberFormat="0" applyAlignment="0" applyProtection="0"/>
    <xf numFmtId="0" fontId="81" fillId="59" borderId="154" applyNumberFormat="0" applyAlignment="0" applyProtection="0"/>
    <xf numFmtId="0" fontId="81" fillId="59" borderId="154" applyNumberFormat="0" applyAlignment="0" applyProtection="0"/>
    <xf numFmtId="0" fontId="81" fillId="59" borderId="154" applyNumberFormat="0" applyAlignment="0" applyProtection="0"/>
    <xf numFmtId="0" fontId="81" fillId="59" borderId="154" applyNumberFormat="0" applyAlignment="0" applyProtection="0"/>
    <xf numFmtId="0" fontId="81" fillId="59" borderId="154" applyNumberFormat="0" applyAlignment="0" applyProtection="0"/>
    <xf numFmtId="0" fontId="9" fillId="62" borderId="191" applyNumberFormat="0" applyFont="0" applyAlignment="0" applyProtection="0"/>
    <xf numFmtId="0" fontId="9" fillId="62" borderId="191" applyNumberFormat="0" applyFon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10" fontId="11" fillId="3" borderId="176" applyNumberFormat="0" applyBorder="0" applyAlignment="0" applyProtection="0"/>
    <xf numFmtId="0" fontId="11" fillId="62" borderId="203" applyNumberFormat="0" applyFon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5" fillId="0" borderId="190" applyNumberFormat="0" applyFill="0" applyAlignment="0" applyProtection="0"/>
    <xf numFmtId="0" fontId="85" fillId="0" borderId="178" applyNumberFormat="0" applyFill="0" applyAlignment="0" applyProtection="0"/>
    <xf numFmtId="0" fontId="85" fillId="0" borderId="178" applyNumberFormat="0" applyFill="0" applyAlignment="0" applyProtection="0"/>
    <xf numFmtId="0" fontId="85" fillId="0" borderId="178" applyNumberFormat="0" applyFill="0" applyAlignment="0" applyProtection="0"/>
    <xf numFmtId="0" fontId="85" fillId="0" borderId="178" applyNumberFormat="0" applyFill="0" applyAlignment="0" applyProtection="0"/>
    <xf numFmtId="0" fontId="85" fillId="0" borderId="178" applyNumberFormat="0" applyFill="0" applyAlignment="0" applyProtection="0"/>
    <xf numFmtId="0" fontId="85" fillId="0" borderId="190" applyNumberFormat="0" applyFill="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12" fillId="0" borderId="182">
      <alignment horizontal="left" vertical="center"/>
    </xf>
    <xf numFmtId="0" fontId="12" fillId="0" borderId="182">
      <alignment horizontal="left" vertical="center"/>
    </xf>
    <xf numFmtId="0" fontId="12" fillId="0" borderId="182">
      <alignment horizontal="left" vertical="center"/>
    </xf>
    <xf numFmtId="0" fontId="12" fillId="0" borderId="182">
      <alignment horizontal="left" vertical="center"/>
    </xf>
    <xf numFmtId="0" fontId="12" fillId="0" borderId="182">
      <alignment horizontal="left" vertical="center"/>
    </xf>
    <xf numFmtId="0" fontId="12" fillId="0" borderId="182">
      <alignment horizontal="left" vertical="center"/>
    </xf>
    <xf numFmtId="0" fontId="12" fillId="0" borderId="182">
      <alignment horizontal="left" vertical="center"/>
    </xf>
    <xf numFmtId="0" fontId="12" fillId="0" borderId="182">
      <alignment horizontal="left" vertical="center"/>
    </xf>
    <xf numFmtId="0" fontId="81" fillId="59" borderId="196" applyNumberFormat="0" applyAlignment="0" applyProtection="0"/>
    <xf numFmtId="0" fontId="64" fillId="59" borderId="196" applyNumberFormat="0" applyAlignment="0" applyProtection="0"/>
    <xf numFmtId="0" fontId="87" fillId="46" borderId="196" applyNumberFormat="0" applyAlignment="0" applyProtection="0"/>
    <xf numFmtId="0" fontId="71" fillId="46" borderId="196" applyNumberFormat="0" applyAlignment="0" applyProtection="0"/>
    <xf numFmtId="0" fontId="11" fillId="62" borderId="197" applyNumberFormat="0" applyFont="0" applyAlignment="0" applyProtection="0"/>
    <xf numFmtId="0" fontId="74" fillId="59" borderId="198" applyNumberFormat="0" applyAlignment="0" applyProtection="0"/>
    <xf numFmtId="0" fontId="76" fillId="0" borderId="199" applyNumberFormat="0" applyFill="0" applyAlignment="0" applyProtection="0"/>
    <xf numFmtId="0" fontId="9" fillId="62" borderId="197" applyNumberFormat="0" applyFont="0" applyAlignment="0" applyProtection="0"/>
    <xf numFmtId="0" fontId="81" fillId="59" borderId="196" applyNumberFormat="0" applyAlignment="0" applyProtection="0"/>
    <xf numFmtId="0" fontId="9" fillId="62" borderId="197" applyNumberFormat="0" applyFon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64" fillId="59" borderId="196" applyNumberFormat="0" applyAlignment="0" applyProtection="0"/>
    <xf numFmtId="0" fontId="9" fillId="62" borderId="197" applyNumberFormat="0" applyFont="0" applyAlignment="0" applyProtection="0"/>
    <xf numFmtId="0" fontId="81" fillId="59" borderId="196" applyNumberFormat="0" applyAlignment="0" applyProtection="0"/>
    <xf numFmtId="0" fontId="81" fillId="59" borderId="196" applyNumberFormat="0" applyAlignment="0" applyProtection="0"/>
    <xf numFmtId="0" fontId="12" fillId="0" borderId="200">
      <alignment horizontal="left" vertical="center"/>
    </xf>
    <xf numFmtId="0" fontId="12" fillId="0" borderId="200">
      <alignment horizontal="left" vertical="center"/>
    </xf>
    <xf numFmtId="0" fontId="12" fillId="0" borderId="200">
      <alignment horizontal="left" vertical="center"/>
    </xf>
    <xf numFmtId="0" fontId="12" fillId="0" borderId="200">
      <alignment horizontal="left" vertical="center"/>
    </xf>
    <xf numFmtId="0" fontId="12" fillId="0" borderId="200">
      <alignment horizontal="left" vertical="center"/>
    </xf>
    <xf numFmtId="0" fontId="12" fillId="0" borderId="200">
      <alignment horizontal="left" vertical="center"/>
    </xf>
    <xf numFmtId="0" fontId="12" fillId="0" borderId="200">
      <alignment horizontal="left" vertical="center"/>
    </xf>
    <xf numFmtId="0" fontId="12" fillId="0" borderId="200">
      <alignment horizontal="left" vertical="center"/>
    </xf>
    <xf numFmtId="10" fontId="11" fillId="3" borderId="201" applyNumberFormat="0" applyBorder="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12" fillId="0" borderId="158">
      <alignment horizontal="left" vertical="center"/>
    </xf>
    <xf numFmtId="0" fontId="12" fillId="0" borderId="158">
      <alignment horizontal="left" vertical="center"/>
    </xf>
    <xf numFmtId="0" fontId="12" fillId="0" borderId="158">
      <alignment horizontal="left" vertical="center"/>
    </xf>
    <xf numFmtId="0" fontId="12" fillId="0" borderId="158">
      <alignment horizontal="left" vertical="center"/>
    </xf>
    <xf numFmtId="0" fontId="12" fillId="0" borderId="158">
      <alignment horizontal="left" vertical="center"/>
    </xf>
    <xf numFmtId="0" fontId="12" fillId="0" borderId="158">
      <alignment horizontal="left" vertical="center"/>
    </xf>
    <xf numFmtId="0" fontId="12" fillId="0" borderId="158">
      <alignment horizontal="left" vertical="center"/>
    </xf>
    <xf numFmtId="0" fontId="12" fillId="0" borderId="158">
      <alignment horizontal="left" vertical="center"/>
    </xf>
    <xf numFmtId="0" fontId="12" fillId="0" borderId="158">
      <alignment horizontal="left" vertical="center"/>
    </xf>
    <xf numFmtId="0" fontId="81" fillId="59" borderId="196" applyNumberFormat="0" applyAlignment="0" applyProtection="0"/>
    <xf numFmtId="0" fontId="12" fillId="0" borderId="200">
      <alignment horizontal="left" vertical="center"/>
    </xf>
    <xf numFmtId="0" fontId="12" fillId="0" borderId="200">
      <alignment horizontal="left" vertical="center"/>
    </xf>
    <xf numFmtId="0" fontId="12" fillId="0" borderId="200">
      <alignment horizontal="left" vertical="center"/>
    </xf>
    <xf numFmtId="0" fontId="12" fillId="0" borderId="200">
      <alignment horizontal="left" vertical="center"/>
    </xf>
    <xf numFmtId="0" fontId="12" fillId="0" borderId="200">
      <alignment horizontal="left" vertical="center"/>
    </xf>
    <xf numFmtId="0" fontId="81" fillId="59" borderId="196" applyNumberFormat="0" applyAlignment="0" applyProtection="0"/>
    <xf numFmtId="0" fontId="87" fillId="46" borderId="196" applyNumberFormat="0" applyAlignment="0" applyProtection="0"/>
    <xf numFmtId="0" fontId="90" fillId="59" borderId="198" applyNumberFormat="0" applyAlignment="0" applyProtection="0"/>
    <xf numFmtId="0" fontId="74" fillId="59" borderId="198" applyNumberFormat="0" applyAlignment="0" applyProtection="0"/>
    <xf numFmtId="0" fontId="81" fillId="59" borderId="196" applyNumberFormat="0" applyAlignment="0" applyProtection="0"/>
    <xf numFmtId="0" fontId="81" fillId="59" borderId="196" applyNumberFormat="0" applyAlignment="0" applyProtection="0"/>
    <xf numFmtId="0" fontId="85" fillId="0" borderId="190" applyNumberFormat="0" applyFill="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0" fillId="59" borderId="198"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0" fillId="59" borderId="198" applyNumberFormat="0" applyAlignment="0" applyProtection="0"/>
    <xf numFmtId="0" fontId="90" fillId="59" borderId="198" applyNumberFormat="0" applyAlignment="0" applyProtection="0"/>
    <xf numFmtId="10" fontId="11" fillId="3" borderId="153" applyNumberFormat="0" applyBorder="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1" fillId="59" borderId="202" applyNumberFormat="0" applyAlignment="0" applyProtection="0"/>
    <xf numFmtId="0" fontId="81" fillId="59" borderId="202"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12" fillId="0" borderId="206">
      <alignment horizontal="left" vertical="center"/>
    </xf>
    <xf numFmtId="0" fontId="87" fillId="46" borderId="202" applyNumberFormat="0" applyAlignment="0" applyProtection="0"/>
    <xf numFmtId="0" fontId="76" fillId="0" borderId="205" applyNumberFormat="0" applyFill="0" applyAlignment="0" applyProtection="0"/>
    <xf numFmtId="0" fontId="11" fillId="62" borderId="197" applyNumberFormat="0" applyFont="0" applyAlignment="0" applyProtection="0"/>
    <xf numFmtId="0" fontId="81" fillId="59" borderId="196" applyNumberFormat="0" applyAlignment="0" applyProtection="0"/>
    <xf numFmtId="0" fontId="76" fillId="0" borderId="199" applyNumberFormat="0" applyFill="0" applyAlignment="0" applyProtection="0"/>
    <xf numFmtId="0" fontId="74" fillId="59" borderId="198" applyNumberFormat="0" applyAlignment="0" applyProtection="0"/>
    <xf numFmtId="0" fontId="64" fillId="59" borderId="196" applyNumberFormat="0" applyAlignment="0" applyProtection="0"/>
    <xf numFmtId="0" fontId="71" fillId="46" borderId="196" applyNumberFormat="0" applyAlignment="0" applyProtection="0"/>
    <xf numFmtId="0" fontId="11" fillId="62" borderId="197" applyNumberFormat="0" applyFont="0" applyAlignment="0" applyProtection="0"/>
    <xf numFmtId="0" fontId="74" fillId="59" borderId="198"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12" fillId="0" borderId="206">
      <alignment horizontal="left" vertical="center"/>
    </xf>
    <xf numFmtId="0" fontId="64" fillId="59" borderId="196" applyNumberFormat="0" applyAlignment="0" applyProtection="0"/>
    <xf numFmtId="0" fontId="76" fillId="0" borderId="199" applyNumberFormat="0" applyFill="0" applyAlignment="0" applyProtection="0"/>
    <xf numFmtId="0" fontId="81" fillId="59" borderId="196" applyNumberFormat="0" applyAlignment="0" applyProtection="0"/>
    <xf numFmtId="0" fontId="12" fillId="0" borderId="200">
      <alignment horizontal="left" vertical="center"/>
    </xf>
    <xf numFmtId="10" fontId="11" fillId="3" borderId="201" applyNumberFormat="0" applyBorder="0" applyAlignment="0" applyProtection="0"/>
    <xf numFmtId="0" fontId="87" fillId="46" borderId="196" applyNumberFormat="0" applyAlignment="0" applyProtection="0"/>
    <xf numFmtId="0" fontId="87" fillId="46" borderId="196"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87" fillId="46" borderId="202" applyNumberFormat="0" applyAlignment="0" applyProtection="0"/>
    <xf numFmtId="0" fontId="87" fillId="46" borderId="202" applyNumberFormat="0" applyAlignment="0" applyProtection="0"/>
    <xf numFmtId="0" fontId="87" fillId="46" borderId="202" applyNumberFormat="0" applyAlignment="0" applyProtection="0"/>
    <xf numFmtId="0" fontId="87" fillId="46" borderId="202" applyNumberFormat="0" applyAlignment="0" applyProtection="0"/>
    <xf numFmtId="0" fontId="87" fillId="46" borderId="202" applyNumberFormat="0" applyAlignment="0" applyProtection="0"/>
    <xf numFmtId="0" fontId="87" fillId="46" borderId="202" applyNumberFormat="0" applyAlignment="0" applyProtection="0"/>
    <xf numFmtId="0" fontId="87" fillId="46" borderId="202" applyNumberFormat="0" applyAlignment="0" applyProtection="0"/>
    <xf numFmtId="0" fontId="87" fillId="46" borderId="202" applyNumberFormat="0" applyAlignment="0" applyProtection="0"/>
    <xf numFmtId="0" fontId="87" fillId="46" borderId="202" applyNumberFormat="0" applyAlignment="0" applyProtection="0"/>
    <xf numFmtId="0" fontId="87" fillId="46" borderId="202" applyNumberFormat="0" applyAlignment="0" applyProtection="0"/>
    <xf numFmtId="0" fontId="87" fillId="46" borderId="202" applyNumberFormat="0" applyAlignment="0" applyProtection="0"/>
    <xf numFmtId="0" fontId="9" fillId="62" borderId="203" applyNumberFormat="0" applyFont="0" applyAlignment="0" applyProtection="0"/>
    <xf numFmtId="0" fontId="9" fillId="62" borderId="203" applyNumberFormat="0" applyFont="0" applyAlignment="0" applyProtection="0"/>
    <xf numFmtId="0" fontId="9" fillId="62" borderId="203" applyNumberFormat="0" applyFont="0" applyAlignment="0" applyProtection="0"/>
    <xf numFmtId="0" fontId="9" fillId="62" borderId="203" applyNumberFormat="0" applyFont="0" applyAlignment="0" applyProtection="0"/>
    <xf numFmtId="0" fontId="9" fillId="62" borderId="203" applyNumberFormat="0" applyFont="0" applyAlignment="0" applyProtection="0"/>
    <xf numFmtId="0" fontId="9" fillId="62" borderId="203" applyNumberFormat="0" applyFont="0" applyAlignment="0" applyProtection="0"/>
    <xf numFmtId="0" fontId="9" fillId="62" borderId="203" applyNumberFormat="0" applyFont="0" applyAlignment="0" applyProtection="0"/>
    <xf numFmtId="0" fontId="9" fillId="62" borderId="203" applyNumberFormat="0" applyFont="0" applyAlignment="0" applyProtection="0"/>
    <xf numFmtId="0" fontId="9" fillId="62" borderId="203" applyNumberFormat="0" applyFont="0" applyAlignment="0" applyProtection="0"/>
    <xf numFmtId="0" fontId="90" fillId="59" borderId="204" applyNumberFormat="0" applyAlignment="0" applyProtection="0"/>
    <xf numFmtId="0" fontId="90" fillId="59" borderId="204" applyNumberFormat="0" applyAlignment="0" applyProtection="0"/>
    <xf numFmtId="0" fontId="90" fillId="59" borderId="204" applyNumberFormat="0" applyAlignment="0" applyProtection="0"/>
    <xf numFmtId="0" fontId="90" fillId="59" borderId="204" applyNumberFormat="0" applyAlignment="0" applyProtection="0"/>
    <xf numFmtId="0" fontId="90" fillId="59" borderId="204" applyNumberFormat="0" applyAlignment="0" applyProtection="0"/>
    <xf numFmtId="0" fontId="90" fillId="59" borderId="204" applyNumberFormat="0" applyAlignment="0" applyProtection="0"/>
    <xf numFmtId="0" fontId="74" fillId="59" borderId="180" applyNumberFormat="0" applyAlignment="0" applyProtection="0"/>
    <xf numFmtId="0" fontId="81" fillId="59" borderId="177" applyNumberFormat="0" applyAlignment="0" applyProtection="0"/>
    <xf numFmtId="0" fontId="76" fillId="0" borderId="217" applyNumberFormat="0" applyFill="0" applyAlignment="0" applyProtection="0"/>
    <xf numFmtId="0" fontId="81" fillId="59" borderId="196" applyNumberFormat="0" applyAlignment="0" applyProtection="0"/>
    <xf numFmtId="0" fontId="81" fillId="59" borderId="196" applyNumberFormat="0" applyAlignment="0" applyProtection="0"/>
    <xf numFmtId="0" fontId="76" fillId="0" borderId="181" applyNumberFormat="0" applyFill="0" applyAlignment="0" applyProtection="0"/>
    <xf numFmtId="0" fontId="74" fillId="59" borderId="180" applyNumberFormat="0" applyAlignment="0" applyProtection="0"/>
    <xf numFmtId="0" fontId="11" fillId="62" borderId="179" applyNumberFormat="0" applyFont="0" applyAlignment="0" applyProtection="0"/>
    <xf numFmtId="0" fontId="71" fillId="46" borderId="177" applyNumberFormat="0" applyAlignment="0" applyProtection="0"/>
    <xf numFmtId="0" fontId="87" fillId="46" borderId="196" applyNumberFormat="0" applyAlignment="0" applyProtection="0"/>
    <xf numFmtId="0" fontId="70" fillId="0" borderId="178" applyNumberFormat="0" applyFill="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7" fillId="46" borderId="196" applyNumberFormat="0" applyAlignment="0" applyProtection="0"/>
    <xf numFmtId="0" fontId="9" fillId="62" borderId="197" applyNumberFormat="0" applyFont="0" applyAlignment="0" applyProtection="0"/>
    <xf numFmtId="0" fontId="87" fillId="46" borderId="196" applyNumberFormat="0" applyAlignment="0" applyProtection="0"/>
    <xf numFmtId="0" fontId="81" fillId="59" borderId="196" applyNumberFormat="0" applyAlignment="0" applyProtection="0"/>
    <xf numFmtId="0" fontId="64" fillId="59" borderId="177" applyNumberFormat="0" applyAlignment="0" applyProtection="0"/>
    <xf numFmtId="0" fontId="87" fillId="46" borderId="196" applyNumberFormat="0" applyAlignment="0" applyProtection="0"/>
    <xf numFmtId="0" fontId="9" fillId="62" borderId="197" applyNumberFormat="0" applyFont="0" applyAlignment="0" applyProtection="0"/>
    <xf numFmtId="0" fontId="90" fillId="59" borderId="198" applyNumberFormat="0" applyAlignment="0" applyProtection="0"/>
    <xf numFmtId="0" fontId="87" fillId="46" borderId="196" applyNumberFormat="0" applyAlignment="0" applyProtection="0"/>
    <xf numFmtId="0" fontId="87" fillId="46" borderId="196" applyNumberFormat="0" applyAlignment="0" applyProtection="0"/>
    <xf numFmtId="0" fontId="9" fillId="62" borderId="197" applyNumberFormat="0" applyFont="0" applyAlignment="0" applyProtection="0"/>
    <xf numFmtId="0" fontId="90" fillId="59" borderId="198" applyNumberFormat="0" applyAlignment="0" applyProtection="0"/>
    <xf numFmtId="0" fontId="76" fillId="0" borderId="199" applyNumberFormat="0" applyFill="0" applyAlignment="0" applyProtection="0"/>
    <xf numFmtId="0" fontId="12" fillId="0" borderId="200">
      <alignment horizontal="left" vertical="center"/>
    </xf>
    <xf numFmtId="0" fontId="87" fillId="46" borderId="196" applyNumberFormat="0" applyAlignment="0" applyProtection="0"/>
    <xf numFmtId="0" fontId="9" fillId="62" borderId="197" applyNumberFormat="0" applyFont="0" applyAlignment="0" applyProtection="0"/>
    <xf numFmtId="0" fontId="90" fillId="59" borderId="198" applyNumberFormat="0" applyAlignment="0" applyProtection="0"/>
    <xf numFmtId="0" fontId="11" fillId="62" borderId="197" applyNumberFormat="0" applyFont="0" applyAlignment="0" applyProtection="0"/>
    <xf numFmtId="0" fontId="81" fillId="59" borderId="196" applyNumberFormat="0" applyAlignment="0" applyProtection="0"/>
    <xf numFmtId="0" fontId="87" fillId="46" borderId="196" applyNumberFormat="0" applyAlignment="0" applyProtection="0"/>
    <xf numFmtId="0" fontId="9" fillId="62" borderId="197" applyNumberFormat="0" applyFont="0" applyAlignment="0" applyProtection="0"/>
    <xf numFmtId="0" fontId="90" fillId="59" borderId="198" applyNumberFormat="0" applyAlignment="0" applyProtection="0"/>
    <xf numFmtId="0" fontId="12" fillId="0" borderId="200">
      <alignment horizontal="left" vertical="center"/>
    </xf>
    <xf numFmtId="0" fontId="87" fillId="46" borderId="196" applyNumberFormat="0" applyAlignment="0" applyProtection="0"/>
    <xf numFmtId="0" fontId="90" fillId="59" borderId="198" applyNumberFormat="0" applyAlignment="0" applyProtection="0"/>
    <xf numFmtId="0" fontId="87" fillId="46" borderId="202" applyNumberFormat="0" applyAlignment="0" applyProtection="0"/>
    <xf numFmtId="0" fontId="9" fillId="62" borderId="203" applyNumberFormat="0" applyFont="0" applyAlignment="0" applyProtection="0"/>
    <xf numFmtId="0" fontId="90" fillId="59" borderId="204" applyNumberFormat="0" applyAlignment="0" applyProtection="0"/>
    <xf numFmtId="0" fontId="60" fillId="0" borderId="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9" fillId="62" borderId="191" applyNumberFormat="0" applyFont="0" applyAlignment="0" applyProtection="0"/>
    <xf numFmtId="0" fontId="90" fillId="59" borderId="198" applyNumberFormat="0" applyAlignment="0" applyProtection="0"/>
    <xf numFmtId="0" fontId="85" fillId="0" borderId="190" applyNumberFormat="0" applyFill="0" applyAlignment="0" applyProtection="0"/>
    <xf numFmtId="0" fontId="87" fillId="46" borderId="196" applyNumberFormat="0" applyAlignment="0" applyProtection="0"/>
    <xf numFmtId="0" fontId="9" fillId="62" borderId="191" applyNumberFormat="0" applyFont="0" applyAlignment="0" applyProtection="0"/>
    <xf numFmtId="0" fontId="90" fillId="59" borderId="198" applyNumberFormat="0" applyAlignment="0" applyProtection="0"/>
    <xf numFmtId="0" fontId="81" fillId="59" borderId="196"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12" fillId="0" borderId="200">
      <alignment horizontal="left" vertical="center"/>
    </xf>
    <xf numFmtId="0" fontId="87" fillId="46" borderId="202" applyNumberFormat="0" applyAlignment="0" applyProtection="0"/>
    <xf numFmtId="0" fontId="81" fillId="59" borderId="196" applyNumberFormat="0" applyAlignment="0" applyProtection="0"/>
    <xf numFmtId="0" fontId="9" fillId="62" borderId="197" applyNumberFormat="0" applyFont="0" applyAlignment="0" applyProtection="0"/>
    <xf numFmtId="0" fontId="90" fillId="59" borderId="192" applyNumberFormat="0" applyAlignment="0" applyProtection="0"/>
    <xf numFmtId="0" fontId="9" fillId="62" borderId="197" applyNumberFormat="0" applyFont="0" applyAlignment="0" applyProtection="0"/>
    <xf numFmtId="0" fontId="87" fillId="46" borderId="196" applyNumberFormat="0" applyAlignment="0" applyProtection="0"/>
    <xf numFmtId="0" fontId="90" fillId="59" borderId="198" applyNumberFormat="0" applyAlignment="0" applyProtection="0"/>
    <xf numFmtId="0" fontId="12" fillId="0" borderId="206">
      <alignment horizontal="left" vertical="center"/>
    </xf>
    <xf numFmtId="0" fontId="81" fillId="59" borderId="196" applyNumberFormat="0" applyAlignment="0" applyProtection="0"/>
    <xf numFmtId="0" fontId="81" fillId="59" borderId="196" applyNumberFormat="0" applyAlignment="0" applyProtection="0"/>
    <xf numFmtId="0" fontId="87" fillId="46" borderId="196" applyNumberFormat="0" applyAlignment="0" applyProtection="0"/>
    <xf numFmtId="0" fontId="64" fillId="59" borderId="159" applyNumberFormat="0" applyAlignment="0" applyProtection="0"/>
    <xf numFmtId="0" fontId="71" fillId="46" borderId="159" applyNumberFormat="0" applyAlignment="0" applyProtection="0"/>
    <xf numFmtId="0" fontId="87" fillId="46" borderId="196" applyNumberFormat="0" applyAlignment="0" applyProtection="0"/>
    <xf numFmtId="0" fontId="11" fillId="62" borderId="160" applyNumberFormat="0" applyFont="0" applyAlignment="0" applyProtection="0"/>
    <xf numFmtId="0" fontId="74" fillId="59" borderId="161" applyNumberFormat="0" applyAlignment="0" applyProtection="0"/>
    <xf numFmtId="0" fontId="76" fillId="0" borderId="162" applyNumberFormat="0" applyFill="0" applyAlignment="0" applyProtection="0"/>
    <xf numFmtId="0" fontId="87" fillId="46" borderId="196" applyNumberFormat="0" applyAlignment="0" applyProtection="0"/>
    <xf numFmtId="0" fontId="87" fillId="46" borderId="177" applyNumberFormat="0" applyAlignment="0" applyProtection="0"/>
    <xf numFmtId="0" fontId="81" fillId="59" borderId="196" applyNumberFormat="0" applyAlignment="0" applyProtection="0"/>
    <xf numFmtId="0" fontId="90" fillId="59" borderId="198" applyNumberFormat="0" applyAlignment="0" applyProtection="0"/>
    <xf numFmtId="0" fontId="81" fillId="59" borderId="196" applyNumberFormat="0" applyAlignment="0" applyProtection="0"/>
    <xf numFmtId="0" fontId="9" fillId="62" borderId="197" applyNumberFormat="0" applyFont="0" applyAlignment="0" applyProtection="0"/>
    <xf numFmtId="0" fontId="81" fillId="59" borderId="196" applyNumberFormat="0" applyAlignment="0" applyProtection="0"/>
    <xf numFmtId="0" fontId="85" fillId="0" borderId="178" applyNumberFormat="0" applyFill="0" applyAlignment="0" applyProtection="0"/>
    <xf numFmtId="0" fontId="81" fillId="59" borderId="159" applyNumberFormat="0" applyAlignment="0" applyProtection="0"/>
    <xf numFmtId="0" fontId="81" fillId="59" borderId="159" applyNumberFormat="0" applyAlignment="0" applyProtection="0"/>
    <xf numFmtId="0" fontId="81" fillId="59" borderId="159" applyNumberFormat="0" applyAlignment="0" applyProtection="0"/>
    <xf numFmtId="0" fontId="81" fillId="59" borderId="159" applyNumberFormat="0" applyAlignment="0" applyProtection="0"/>
    <xf numFmtId="0" fontId="81" fillId="59" borderId="159" applyNumberFormat="0" applyAlignment="0" applyProtection="0"/>
    <xf numFmtId="0" fontId="81" fillId="59" borderId="159" applyNumberFormat="0" applyAlignment="0" applyProtection="0"/>
    <xf numFmtId="0" fontId="81" fillId="59" borderId="159" applyNumberFormat="0" applyAlignment="0" applyProtection="0"/>
    <xf numFmtId="0" fontId="81" fillId="59" borderId="159" applyNumberFormat="0" applyAlignment="0" applyProtection="0"/>
    <xf numFmtId="0" fontId="81" fillId="59" borderId="159" applyNumberFormat="0" applyAlignment="0" applyProtection="0"/>
    <xf numFmtId="0" fontId="81" fillId="59" borderId="159" applyNumberFormat="0" applyAlignment="0" applyProtection="0"/>
    <xf numFmtId="0" fontId="81" fillId="59" borderId="159" applyNumberFormat="0" applyAlignment="0" applyProtection="0"/>
    <xf numFmtId="0" fontId="81" fillId="59" borderId="159" applyNumberFormat="0" applyAlignment="0" applyProtection="0"/>
    <xf numFmtId="0" fontId="81" fillId="59" borderId="159" applyNumberFormat="0" applyAlignment="0" applyProtection="0"/>
    <xf numFmtId="0" fontId="81" fillId="59" borderId="159" applyNumberFormat="0" applyAlignment="0" applyProtection="0"/>
    <xf numFmtId="0" fontId="81" fillId="59" borderId="159" applyNumberFormat="0" applyAlignment="0" applyProtection="0"/>
    <xf numFmtId="0" fontId="81" fillId="59" borderId="159" applyNumberFormat="0" applyAlignment="0" applyProtection="0"/>
    <xf numFmtId="0" fontId="81" fillId="59" borderId="159"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5" fillId="0" borderId="178" applyNumberFormat="0" applyFill="0" applyAlignment="0" applyProtection="0"/>
    <xf numFmtId="0" fontId="85" fillId="0" borderId="178" applyNumberFormat="0" applyFill="0" applyAlignment="0" applyProtection="0"/>
    <xf numFmtId="0" fontId="85" fillId="0" borderId="190" applyNumberFormat="0" applyFill="0" applyAlignment="0" applyProtection="0"/>
    <xf numFmtId="0" fontId="85" fillId="0" borderId="190" applyNumberFormat="0" applyFill="0" applyAlignment="0" applyProtection="0"/>
    <xf numFmtId="0" fontId="81" fillId="59" borderId="196" applyNumberFormat="0" applyAlignment="0" applyProtection="0"/>
    <xf numFmtId="0" fontId="81" fillId="59" borderId="196" applyNumberFormat="0" applyAlignment="0" applyProtection="0"/>
    <xf numFmtId="0" fontId="87" fillId="46" borderId="196" applyNumberFormat="0" applyAlignment="0" applyProtection="0"/>
    <xf numFmtId="10" fontId="11" fillId="3" borderId="195" applyNumberFormat="0" applyBorder="0" applyAlignment="0" applyProtection="0"/>
    <xf numFmtId="0" fontId="12" fillId="0" borderId="163">
      <alignment horizontal="left" vertical="center"/>
    </xf>
    <xf numFmtId="0" fontId="12" fillId="0" borderId="163">
      <alignment horizontal="left" vertical="center"/>
    </xf>
    <xf numFmtId="0" fontId="12" fillId="0" borderId="163">
      <alignment horizontal="left" vertical="center"/>
    </xf>
    <xf numFmtId="0" fontId="12" fillId="0" borderId="163">
      <alignment horizontal="left" vertical="center"/>
    </xf>
    <xf numFmtId="0" fontId="12" fillId="0" borderId="163">
      <alignment horizontal="left" vertical="center"/>
    </xf>
    <xf numFmtId="0" fontId="12" fillId="0" borderId="163">
      <alignment horizontal="left" vertical="center"/>
    </xf>
    <xf numFmtId="0" fontId="12" fillId="0" borderId="163">
      <alignment horizontal="left" vertical="center"/>
    </xf>
    <xf numFmtId="0" fontId="12" fillId="0" borderId="163">
      <alignment horizontal="left" vertical="center"/>
    </xf>
    <xf numFmtId="0" fontId="12" fillId="0" borderId="163">
      <alignment horizontal="left" vertical="center"/>
    </xf>
    <xf numFmtId="10" fontId="11" fillId="3" borderId="164" applyNumberFormat="0" applyBorder="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87" fillId="46" borderId="159"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71" fillId="46" borderId="196" applyNumberFormat="0" applyAlignment="0" applyProtection="0"/>
    <xf numFmtId="0" fontId="81" fillId="59" borderId="196" applyNumberFormat="0" applyAlignment="0" applyProtection="0"/>
    <xf numFmtId="0" fontId="74" fillId="59" borderId="198" applyNumberFormat="0" applyAlignment="0" applyProtection="0"/>
    <xf numFmtId="0" fontId="71" fillId="46" borderId="196" applyNumberFormat="0" applyAlignment="0" applyProtection="0"/>
    <xf numFmtId="0" fontId="81" fillId="59" borderId="196" applyNumberFormat="0" applyAlignment="0" applyProtection="0"/>
    <xf numFmtId="0" fontId="81" fillId="59" borderId="196" applyNumberFormat="0" applyAlignment="0" applyProtection="0"/>
    <xf numFmtId="0" fontId="12" fillId="0" borderId="200">
      <alignment horizontal="left" vertical="center"/>
    </xf>
    <xf numFmtId="0" fontId="87" fillId="46" borderId="196" applyNumberFormat="0" applyAlignment="0" applyProtection="0"/>
    <xf numFmtId="0" fontId="9" fillId="62" borderId="160" applyNumberFormat="0" applyFont="0" applyAlignment="0" applyProtection="0"/>
    <xf numFmtId="0" fontId="9" fillId="62" borderId="160" applyNumberFormat="0" applyFont="0" applyAlignment="0" applyProtection="0"/>
    <xf numFmtId="0" fontId="9" fillId="62" borderId="160" applyNumberFormat="0" applyFont="0" applyAlignment="0" applyProtection="0"/>
    <xf numFmtId="0" fontId="9" fillId="62" borderId="160" applyNumberFormat="0" applyFont="0" applyAlignment="0" applyProtection="0"/>
    <xf numFmtId="0" fontId="9" fillId="62" borderId="160" applyNumberFormat="0" applyFont="0" applyAlignment="0" applyProtection="0"/>
    <xf numFmtId="0" fontId="9" fillId="62" borderId="160" applyNumberFormat="0" applyFont="0" applyAlignment="0" applyProtection="0"/>
    <xf numFmtId="0" fontId="9" fillId="62" borderId="160" applyNumberFormat="0" applyFont="0" applyAlignment="0" applyProtection="0"/>
    <xf numFmtId="0" fontId="9" fillId="62" borderId="160" applyNumberFormat="0" applyFont="0" applyAlignment="0" applyProtection="0"/>
    <xf numFmtId="0" fontId="9" fillId="62" borderId="160" applyNumberFormat="0" applyFont="0" applyAlignment="0" applyProtection="0"/>
    <xf numFmtId="0" fontId="9" fillId="62" borderId="160" applyNumberFormat="0" applyFont="0" applyAlignment="0" applyProtection="0"/>
    <xf numFmtId="0" fontId="9" fillId="62" borderId="160" applyNumberFormat="0" applyFont="0" applyAlignment="0" applyProtection="0"/>
    <xf numFmtId="0" fontId="9" fillId="62" borderId="160" applyNumberFormat="0" applyFont="0" applyAlignment="0" applyProtection="0"/>
    <xf numFmtId="0" fontId="9" fillId="62" borderId="160" applyNumberFormat="0" applyFont="0" applyAlignment="0" applyProtection="0"/>
    <xf numFmtId="0" fontId="9" fillId="62" borderId="160" applyNumberFormat="0" applyFont="0" applyAlignment="0" applyProtection="0"/>
    <xf numFmtId="0" fontId="9" fillId="62" borderId="160" applyNumberFormat="0" applyFont="0" applyAlignment="0" applyProtection="0"/>
    <xf numFmtId="0" fontId="9" fillId="62" borderId="160" applyNumberFormat="0" applyFont="0" applyAlignment="0" applyProtection="0"/>
    <xf numFmtId="0" fontId="9" fillId="62" borderId="160" applyNumberFormat="0" applyFont="0" applyAlignment="0" applyProtection="0"/>
    <xf numFmtId="0" fontId="90" fillId="59" borderId="161" applyNumberFormat="0" applyAlignment="0" applyProtection="0"/>
    <xf numFmtId="0" fontId="90" fillId="59" borderId="161" applyNumberFormat="0" applyAlignment="0" applyProtection="0"/>
    <xf numFmtId="0" fontId="90" fillId="59" borderId="161" applyNumberFormat="0" applyAlignment="0" applyProtection="0"/>
    <xf numFmtId="0" fontId="90" fillId="59" borderId="161" applyNumberFormat="0" applyAlignment="0" applyProtection="0"/>
    <xf numFmtId="0" fontId="90" fillId="59" borderId="161" applyNumberFormat="0" applyAlignment="0" applyProtection="0"/>
    <xf numFmtId="0" fontId="90" fillId="59" borderId="161" applyNumberFormat="0" applyAlignment="0" applyProtection="0"/>
    <xf numFmtId="0" fontId="90" fillId="59" borderId="161" applyNumberFormat="0" applyAlignment="0" applyProtection="0"/>
    <xf numFmtId="0" fontId="90" fillId="59" borderId="161" applyNumberFormat="0" applyAlignment="0" applyProtection="0"/>
    <xf numFmtId="0" fontId="90" fillId="59" borderId="161" applyNumberFormat="0" applyAlignment="0" applyProtection="0"/>
    <xf numFmtId="0" fontId="90" fillId="59" borderId="161" applyNumberFormat="0" applyAlignment="0" applyProtection="0"/>
    <xf numFmtId="0" fontId="90" fillId="59" borderId="161" applyNumberFormat="0" applyAlignment="0" applyProtection="0"/>
    <xf numFmtId="0" fontId="90" fillId="59" borderId="161" applyNumberFormat="0" applyAlignment="0" applyProtection="0"/>
    <xf numFmtId="0" fontId="90" fillId="59" borderId="161" applyNumberFormat="0" applyAlignment="0" applyProtection="0"/>
    <xf numFmtId="0" fontId="90" fillId="59" borderId="161" applyNumberFormat="0" applyAlignment="0" applyProtection="0"/>
    <xf numFmtId="0" fontId="90" fillId="59" borderId="161" applyNumberFormat="0" applyAlignment="0" applyProtection="0"/>
    <xf numFmtId="0" fontId="90" fillId="59" borderId="161" applyNumberFormat="0" applyAlignment="0" applyProtection="0"/>
    <xf numFmtId="0" fontId="90" fillId="59" borderId="161" applyNumberFormat="0" applyAlignment="0" applyProtection="0"/>
    <xf numFmtId="0" fontId="9" fillId="62" borderId="203" applyNumberFormat="0" applyFont="0" applyAlignment="0" applyProtection="0"/>
    <xf numFmtId="0" fontId="90" fillId="59" borderId="204" applyNumberFormat="0" applyAlignment="0" applyProtection="0"/>
    <xf numFmtId="0" fontId="90" fillId="59" borderId="204" applyNumberFormat="0" applyAlignment="0" applyProtection="0"/>
    <xf numFmtId="0" fontId="90" fillId="59" borderId="204" applyNumberFormat="0" applyAlignment="0" applyProtection="0"/>
    <xf numFmtId="0" fontId="90" fillId="59" borderId="204" applyNumberFormat="0" applyAlignment="0" applyProtection="0"/>
    <xf numFmtId="0" fontId="76" fillId="0" borderId="181" applyNumberFormat="0" applyFill="0" applyAlignment="0" applyProtection="0"/>
    <xf numFmtId="0" fontId="81" fillId="59" borderId="177"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9" fillId="62" borderId="197" applyNumberFormat="0" applyFont="0" applyAlignment="0" applyProtection="0"/>
    <xf numFmtId="0" fontId="9" fillId="62" borderId="191" applyNumberFormat="0" applyFont="0" applyAlignment="0" applyProtection="0"/>
    <xf numFmtId="0" fontId="12" fillId="0" borderId="200">
      <alignment horizontal="left" vertical="center"/>
    </xf>
    <xf numFmtId="0" fontId="9" fillId="62" borderId="197" applyNumberFormat="0" applyFont="0" applyAlignment="0" applyProtection="0"/>
    <xf numFmtId="0" fontId="9" fillId="62" borderId="197" applyNumberFormat="0" applyFont="0" applyAlignment="0" applyProtection="0"/>
    <xf numFmtId="0" fontId="12" fillId="0" borderId="200">
      <alignment horizontal="left" vertical="center"/>
    </xf>
    <xf numFmtId="0" fontId="87" fillId="46" borderId="202" applyNumberFormat="0" applyAlignment="0" applyProtection="0"/>
    <xf numFmtId="0" fontId="90" fillId="59" borderId="198" applyNumberFormat="0" applyAlignment="0" applyProtection="0"/>
    <xf numFmtId="0" fontId="90" fillId="59" borderId="192" applyNumberFormat="0" applyAlignment="0" applyProtection="0"/>
    <xf numFmtId="0" fontId="9" fillId="62" borderId="197" applyNumberFormat="0" applyFont="0" applyAlignment="0" applyProtection="0"/>
    <xf numFmtId="0" fontId="90" fillId="59" borderId="198" applyNumberFormat="0" applyAlignment="0" applyProtection="0"/>
    <xf numFmtId="0" fontId="12" fillId="0" borderId="200">
      <alignment horizontal="left" vertical="center"/>
    </xf>
    <xf numFmtId="0" fontId="87" fillId="46" borderId="196" applyNumberFormat="0" applyAlignment="0" applyProtection="0"/>
    <xf numFmtId="0" fontId="81" fillId="59" borderId="165" applyNumberFormat="0" applyAlignment="0" applyProtection="0"/>
    <xf numFmtId="0" fontId="11" fillId="62" borderId="166" applyNumberFormat="0" applyFont="0" applyAlignment="0" applyProtection="0"/>
    <xf numFmtId="0" fontId="90" fillId="59" borderId="167" applyNumberFormat="0" applyAlignment="0" applyProtection="0"/>
    <xf numFmtId="0" fontId="9" fillId="62" borderId="166" applyNumberFormat="0" applyFont="0" applyAlignment="0" applyProtection="0"/>
    <xf numFmtId="0" fontId="87" fillId="46" borderId="165" applyNumberFormat="0" applyAlignment="0" applyProtection="0"/>
    <xf numFmtId="0" fontId="90" fillId="59" borderId="198" applyNumberFormat="0" applyAlignment="0" applyProtection="0"/>
    <xf numFmtId="0" fontId="12" fillId="0" borderId="169">
      <alignment horizontal="left" vertical="center"/>
    </xf>
    <xf numFmtId="0" fontId="64" fillId="59" borderId="165" applyNumberFormat="0" applyAlignment="0" applyProtection="0"/>
    <xf numFmtId="0" fontId="87" fillId="46" borderId="165" applyNumberFormat="0" applyAlignment="0" applyProtection="0"/>
    <xf numFmtId="0" fontId="87" fillId="46" borderId="165" applyNumberFormat="0" applyAlignment="0" applyProtection="0"/>
    <xf numFmtId="0" fontId="71" fillId="46" borderId="165" applyNumberFormat="0" applyAlignment="0" applyProtection="0"/>
    <xf numFmtId="0" fontId="87" fillId="46" borderId="196"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11" fillId="62" borderId="166" applyNumberFormat="0" applyFont="0" applyAlignment="0" applyProtection="0"/>
    <xf numFmtId="0" fontId="74" fillId="59" borderId="167" applyNumberFormat="0" applyAlignment="0" applyProtection="0"/>
    <xf numFmtId="10" fontId="11" fillId="3" borderId="164" applyNumberFormat="0" applyBorder="0" applyAlignment="0" applyProtection="0"/>
    <xf numFmtId="0" fontId="76" fillId="0" borderId="168" applyNumberFormat="0" applyFill="0" applyAlignment="0" applyProtection="0"/>
    <xf numFmtId="0" fontId="87" fillId="46" borderId="196"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1" fillId="59" borderId="165" applyNumberFormat="0" applyAlignment="0" applyProtection="0"/>
    <xf numFmtId="0" fontId="87" fillId="46" borderId="196" applyNumberFormat="0" applyAlignment="0" applyProtection="0"/>
    <xf numFmtId="0" fontId="81" fillId="59" borderId="165" applyNumberFormat="0" applyAlignment="0" applyProtection="0"/>
    <xf numFmtId="0" fontId="12" fillId="0" borderId="200">
      <alignment horizontal="left" vertical="center"/>
    </xf>
    <xf numFmtId="0" fontId="81" fillId="59" borderId="165" applyNumberFormat="0" applyAlignment="0" applyProtection="0"/>
    <xf numFmtId="0" fontId="90" fillId="59" borderId="198" applyNumberFormat="0" applyAlignment="0" applyProtection="0"/>
    <xf numFmtId="0" fontId="90" fillId="59" borderId="198" applyNumberFormat="0" applyAlignment="0" applyProtection="0"/>
    <xf numFmtId="0" fontId="9" fillId="62" borderId="166" applyNumberFormat="0" applyFont="0" applyAlignment="0" applyProtection="0"/>
    <xf numFmtId="0" fontId="87" fillId="46" borderId="165" applyNumberFormat="0" applyAlignment="0" applyProtection="0"/>
    <xf numFmtId="0" fontId="85" fillId="0" borderId="178" applyNumberFormat="0" applyFill="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7" fillId="46" borderId="170" applyNumberFormat="0" applyAlignment="0" applyProtection="0"/>
    <xf numFmtId="0" fontId="81" fillId="59" borderId="165" applyNumberFormat="0" applyAlignment="0" applyProtection="0"/>
    <xf numFmtId="0" fontId="12" fillId="0" borderId="174">
      <alignment horizontal="left" vertical="center"/>
    </xf>
    <xf numFmtId="0" fontId="76" fillId="0" borderId="168" applyNumberFormat="0" applyFill="0" applyAlignment="0" applyProtection="0"/>
    <xf numFmtId="0" fontId="74" fillId="59" borderId="167" applyNumberFormat="0" applyAlignment="0" applyProtection="0"/>
    <xf numFmtId="0" fontId="71" fillId="46" borderId="165" applyNumberFormat="0" applyAlignment="0" applyProtection="0"/>
    <xf numFmtId="0" fontId="64" fillId="59" borderId="165" applyNumberFormat="0" applyAlignment="0" applyProtection="0"/>
    <xf numFmtId="0" fontId="87" fillId="46" borderId="196" applyNumberFormat="0" applyAlignment="0" applyProtection="0"/>
    <xf numFmtId="0" fontId="81" fillId="59" borderId="165" applyNumberFormat="0" applyAlignment="0" applyProtection="0"/>
    <xf numFmtId="0" fontId="87" fillId="46" borderId="165" applyNumberFormat="0" applyAlignment="0" applyProtection="0"/>
    <xf numFmtId="0" fontId="81" fillId="59" borderId="165" applyNumberFormat="0" applyAlignment="0" applyProtection="0"/>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76" fillId="0" borderId="168" applyNumberFormat="0" applyFill="0" applyAlignment="0" applyProtection="0"/>
    <xf numFmtId="0" fontId="11" fillId="62" borderId="166" applyNumberFormat="0" applyFont="0" applyAlignment="0" applyProtection="0"/>
    <xf numFmtId="0" fontId="71" fillId="46" borderId="165" applyNumberFormat="0" applyAlignment="0" applyProtection="0"/>
    <xf numFmtId="0" fontId="64" fillId="59" borderId="165" applyNumberFormat="0" applyAlignment="0" applyProtection="0"/>
    <xf numFmtId="0" fontId="74" fillId="59" borderId="172" applyNumberFormat="0" applyAlignment="0" applyProtection="0"/>
    <xf numFmtId="0" fontId="12" fillId="0" borderId="174">
      <alignment horizontal="left" vertical="center"/>
    </xf>
    <xf numFmtId="0" fontId="11" fillId="62" borderId="166" applyNumberFormat="0" applyFont="0" applyAlignment="0" applyProtection="0"/>
    <xf numFmtId="0" fontId="74" fillId="59" borderId="167" applyNumberFormat="0" applyAlignment="0" applyProtection="0"/>
    <xf numFmtId="0" fontId="81" fillId="59" borderId="154" applyNumberFormat="0" applyAlignment="0" applyProtection="0"/>
    <xf numFmtId="0" fontId="90" fillId="59" borderId="198"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11" fillId="62" borderId="171" applyNumberFormat="0" applyFon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87" fillId="46" borderId="196" applyNumberFormat="0" applyAlignment="0" applyProtection="0"/>
    <xf numFmtId="0" fontId="87" fillId="46" borderId="196" applyNumberFormat="0" applyAlignment="0" applyProtection="0"/>
    <xf numFmtId="0" fontId="81" fillId="59" borderId="177" applyNumberFormat="0" applyAlignment="0" applyProtection="0"/>
    <xf numFmtId="0" fontId="81" fillId="59" borderId="177" applyNumberFormat="0" applyAlignment="0" applyProtection="0"/>
    <xf numFmtId="0" fontId="90" fillId="59" borderId="198"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87" fillId="46" borderId="196" applyNumberFormat="0" applyAlignment="0" applyProtection="0"/>
    <xf numFmtId="0" fontId="90" fillId="59" borderId="198" applyNumberFormat="0" applyAlignment="0" applyProtection="0"/>
    <xf numFmtId="0" fontId="81" fillId="59" borderId="165" applyNumberFormat="0" applyAlignment="0" applyProtection="0"/>
    <xf numFmtId="0" fontId="81" fillId="59" borderId="165" applyNumberFormat="0" applyAlignment="0" applyProtection="0"/>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10" fontId="11" fillId="3" borderId="164" applyNumberFormat="0" applyBorder="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77" applyNumberFormat="0" applyAlignment="0" applyProtection="0"/>
    <xf numFmtId="0" fontId="9" fillId="62" borderId="166" applyNumberFormat="0" applyFont="0" applyAlignment="0" applyProtection="0"/>
    <xf numFmtId="0" fontId="9" fillId="62" borderId="166" applyNumberFormat="0" applyFont="0" applyAlignment="0" applyProtection="0"/>
    <xf numFmtId="0" fontId="90" fillId="59" borderId="167" applyNumberFormat="0" applyAlignment="0" applyProtection="0"/>
    <xf numFmtId="0" fontId="81" fillId="59" borderId="170" applyNumberFormat="0" applyAlignment="0" applyProtection="0"/>
    <xf numFmtId="0" fontId="9" fillId="62" borderId="197" applyNumberFormat="0" applyFont="0" applyAlignment="0" applyProtection="0"/>
    <xf numFmtId="0" fontId="81" fillId="59" borderId="154" applyNumberFormat="0" applyAlignment="0" applyProtection="0"/>
    <xf numFmtId="0" fontId="71" fillId="46" borderId="170" applyNumberFormat="0" applyAlignment="0" applyProtection="0"/>
    <xf numFmtId="0" fontId="81" fillId="59" borderId="177" applyNumberFormat="0" applyAlignment="0" applyProtection="0"/>
    <xf numFmtId="0" fontId="90" fillId="59" borderId="167" applyNumberFormat="0" applyAlignment="0" applyProtection="0"/>
    <xf numFmtId="0" fontId="81" fillId="59" borderId="165" applyNumberFormat="0" applyAlignment="0" applyProtection="0"/>
    <xf numFmtId="0" fontId="81" fillId="59" borderId="165" applyNumberFormat="0" applyAlignment="0" applyProtection="0"/>
    <xf numFmtId="0" fontId="90" fillId="59" borderId="167" applyNumberFormat="0" applyAlignment="0" applyProtection="0"/>
    <xf numFmtId="0" fontId="9" fillId="62" borderId="166" applyNumberFormat="0" applyFont="0" applyAlignment="0" applyProtection="0"/>
    <xf numFmtId="0" fontId="64" fillId="59" borderId="165" applyNumberFormat="0" applyAlignment="0" applyProtection="0"/>
    <xf numFmtId="0" fontId="71" fillId="46" borderId="165" applyNumberFormat="0" applyAlignment="0" applyProtection="0"/>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81" fillId="59" borderId="154" applyNumberFormat="0" applyAlignment="0" applyProtection="0"/>
    <xf numFmtId="0" fontId="11" fillId="62" borderId="166" applyNumberFormat="0" applyFont="0" applyAlignment="0" applyProtection="0"/>
    <xf numFmtId="0" fontId="74" fillId="59" borderId="167" applyNumberFormat="0" applyAlignment="0" applyProtection="0"/>
    <xf numFmtId="0" fontId="76" fillId="0" borderId="168" applyNumberFormat="0" applyFill="0" applyAlignment="0" applyProtection="0"/>
    <xf numFmtId="0" fontId="81" fillId="59" borderId="154"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10" fontId="11" fillId="3" borderId="164" applyNumberFormat="0" applyBorder="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1" fillId="59" borderId="165" applyNumberFormat="0" applyAlignment="0" applyProtection="0"/>
    <xf numFmtId="0" fontId="81" fillId="59" borderId="165" applyNumberFormat="0" applyAlignment="0" applyProtection="0"/>
    <xf numFmtId="0" fontId="12" fillId="0" borderId="174">
      <alignment horizontal="left" vertical="center"/>
    </xf>
    <xf numFmtId="0" fontId="81" fillId="59" borderId="165" applyNumberFormat="0" applyAlignment="0" applyProtection="0"/>
    <xf numFmtId="0" fontId="9" fillId="62" borderId="166" applyNumberFormat="0" applyFont="0" applyAlignment="0" applyProtection="0"/>
    <xf numFmtId="0" fontId="9" fillId="62" borderId="166" applyNumberFormat="0" applyFont="0" applyAlignment="0" applyProtection="0"/>
    <xf numFmtId="0" fontId="81" fillId="59" borderId="170"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81" fillId="59"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1" fillId="59" borderId="202" applyNumberFormat="0" applyAlignment="0" applyProtection="0"/>
    <xf numFmtId="0" fontId="81" fillId="59" borderId="202"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0" fillId="59" borderId="198" applyNumberFormat="0" applyAlignment="0" applyProtection="0"/>
    <xf numFmtId="0" fontId="12" fillId="0" borderId="169">
      <alignment horizontal="left" vertical="center"/>
    </xf>
    <xf numFmtId="0" fontId="87" fillId="46" borderId="165" applyNumberFormat="0" applyAlignment="0" applyProtection="0"/>
    <xf numFmtId="0" fontId="9" fillId="62" borderId="166" applyNumberFormat="0" applyFont="0" applyAlignment="0" applyProtection="0"/>
    <xf numFmtId="0" fontId="81" fillId="59" borderId="154" applyNumberFormat="0" applyAlignment="0" applyProtection="0"/>
    <xf numFmtId="0" fontId="90" fillId="59" borderId="167" applyNumberFormat="0" applyAlignment="0" applyProtection="0"/>
    <xf numFmtId="0" fontId="12" fillId="0" borderId="169">
      <alignment horizontal="left" vertical="center"/>
    </xf>
    <xf numFmtId="0" fontId="90" fillId="59" borderId="167" applyNumberFormat="0" applyAlignment="0" applyProtection="0"/>
    <xf numFmtId="0" fontId="87" fillId="46" borderId="165" applyNumberFormat="0" applyAlignment="0" applyProtection="0"/>
    <xf numFmtId="0" fontId="12" fillId="0" borderId="169">
      <alignment horizontal="left" vertical="center"/>
    </xf>
    <xf numFmtId="0" fontId="81" fillId="59" borderId="177" applyNumberFormat="0" applyAlignment="0" applyProtection="0"/>
    <xf numFmtId="0" fontId="12" fillId="0" borderId="169">
      <alignment horizontal="left" vertical="center"/>
    </xf>
    <xf numFmtId="0" fontId="64" fillId="59" borderId="165" applyNumberFormat="0" applyAlignment="0" applyProtection="0"/>
    <xf numFmtId="0" fontId="71" fillId="46" borderId="165" applyNumberFormat="0" applyAlignment="0" applyProtection="0"/>
    <xf numFmtId="0" fontId="74" fillId="59" borderId="167" applyNumberFormat="0" applyAlignment="0" applyProtection="0"/>
    <xf numFmtId="0" fontId="76" fillId="0" borderId="168" applyNumberFormat="0" applyFill="0" applyAlignment="0" applyProtection="0"/>
    <xf numFmtId="0" fontId="81" fillId="59" borderId="165" applyNumberFormat="0" applyAlignment="0" applyProtection="0"/>
    <xf numFmtId="0" fontId="81" fillId="59" borderId="196" applyNumberFormat="0" applyAlignment="0" applyProtection="0"/>
    <xf numFmtId="0" fontId="81" fillId="59" borderId="196" applyNumberFormat="0" applyAlignment="0" applyProtection="0"/>
    <xf numFmtId="0" fontId="12" fillId="0" borderId="200">
      <alignment horizontal="left" vertical="center"/>
    </xf>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81" fillId="59" borderId="165" applyNumberFormat="0" applyAlignment="0" applyProtection="0"/>
    <xf numFmtId="0" fontId="81" fillId="59" borderId="165" applyNumberFormat="0" applyAlignment="0" applyProtection="0"/>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10" fontId="11" fillId="3" borderId="164" applyNumberFormat="0" applyBorder="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90" fillId="59" borderId="204" applyNumberFormat="0" applyAlignment="0" applyProtection="0"/>
    <xf numFmtId="0" fontId="81" fillId="59" borderId="165" applyNumberFormat="0" applyAlignment="0" applyProtection="0"/>
    <xf numFmtId="0" fontId="64" fillId="59" borderId="177" applyNumberFormat="0" applyAlignment="0" applyProtection="0"/>
    <xf numFmtId="0" fontId="87" fillId="46" borderId="196" applyNumberFormat="0" applyAlignment="0" applyProtection="0"/>
    <xf numFmtId="0" fontId="81" fillId="59" borderId="170" applyNumberFormat="0" applyAlignment="0" applyProtection="0"/>
    <xf numFmtId="0" fontId="9" fillId="62" borderId="197" applyNumberFormat="0" applyFont="0" applyAlignment="0" applyProtection="0"/>
    <xf numFmtId="0" fontId="74" fillId="59" borderId="161" applyNumberFormat="0" applyAlignment="0" applyProtection="0"/>
    <xf numFmtId="0" fontId="11" fillId="62" borderId="160" applyNumberFormat="0" applyFont="0" applyAlignment="0" applyProtection="0"/>
    <xf numFmtId="0" fontId="71" fillId="46" borderId="159" applyNumberFormat="0" applyAlignment="0" applyProtection="0"/>
    <xf numFmtId="0" fontId="9" fillId="62" borderId="166" applyNumberFormat="0" applyFont="0" applyAlignment="0" applyProtection="0"/>
    <xf numFmtId="0" fontId="81" fillId="59" borderId="170" applyNumberFormat="0" applyAlignment="0" applyProtection="0"/>
    <xf numFmtId="0" fontId="87" fillId="46" borderId="165" applyNumberFormat="0" applyAlignment="0" applyProtection="0"/>
    <xf numFmtId="0" fontId="87" fillId="46" borderId="196" applyNumberFormat="0" applyAlignment="0" applyProtection="0"/>
    <xf numFmtId="0" fontId="90" fillId="59" borderId="198" applyNumberFormat="0" applyAlignment="0" applyProtection="0"/>
    <xf numFmtId="0" fontId="64" fillId="59" borderId="159" applyNumberFormat="0" applyAlignment="0" applyProtection="0"/>
    <xf numFmtId="0" fontId="12" fillId="0" borderId="169">
      <alignment horizontal="left" vertical="center"/>
    </xf>
    <xf numFmtId="0" fontId="87" fillId="46" borderId="165" applyNumberFormat="0" applyAlignment="0" applyProtection="0"/>
    <xf numFmtId="0" fontId="81" fillId="59" borderId="177" applyNumberFormat="0" applyAlignment="0" applyProtection="0"/>
    <xf numFmtId="0" fontId="81" fillId="59" borderId="154" applyNumberFormat="0" applyAlignment="0" applyProtection="0"/>
    <xf numFmtId="0" fontId="81" fillId="59" borderId="154" applyNumberFormat="0" applyAlignment="0" applyProtection="0"/>
    <xf numFmtId="0" fontId="87" fillId="46" borderId="165" applyNumberFormat="0" applyAlignment="0" applyProtection="0"/>
    <xf numFmtId="0" fontId="81" fillId="59" borderId="165" applyNumberFormat="0" applyAlignment="0" applyProtection="0"/>
    <xf numFmtId="0" fontId="9" fillId="62" borderId="166" applyNumberFormat="0" applyFont="0" applyAlignment="0" applyProtection="0"/>
    <xf numFmtId="0" fontId="74" fillId="59" borderId="167" applyNumberFormat="0" applyAlignment="0" applyProtection="0"/>
    <xf numFmtId="0" fontId="81" fillId="59" borderId="165" applyNumberFormat="0" applyAlignment="0" applyProtection="0"/>
    <xf numFmtId="0" fontId="81" fillId="59" borderId="165" applyNumberFormat="0" applyAlignment="0" applyProtection="0"/>
    <xf numFmtId="0" fontId="87" fillId="46" borderId="196" applyNumberFormat="0" applyAlignment="0" applyProtection="0"/>
    <xf numFmtId="0" fontId="87" fillId="46" borderId="196"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7" fillId="46" borderId="165" applyNumberFormat="0" applyAlignment="0" applyProtection="0"/>
    <xf numFmtId="0" fontId="9" fillId="62" borderId="197" applyNumberFormat="0" applyFont="0" applyAlignment="0" applyProtection="0"/>
    <xf numFmtId="0" fontId="9" fillId="62" borderId="191" applyNumberFormat="0" applyFont="0" applyAlignment="0" applyProtection="0"/>
    <xf numFmtId="0" fontId="12" fillId="0" borderId="200">
      <alignment horizontal="left" vertical="center"/>
    </xf>
    <xf numFmtId="0" fontId="9" fillId="62" borderId="197" applyNumberFormat="0" applyFont="0" applyAlignment="0" applyProtection="0"/>
    <xf numFmtId="0" fontId="9" fillId="62" borderId="197" applyNumberFormat="0" applyFont="0" applyAlignment="0" applyProtection="0"/>
    <xf numFmtId="0" fontId="87" fillId="46" borderId="196" applyNumberFormat="0" applyAlignment="0" applyProtection="0"/>
    <xf numFmtId="0" fontId="9" fillId="62" borderId="203" applyNumberFormat="0" applyFont="0" applyAlignment="0" applyProtection="0"/>
    <xf numFmtId="0" fontId="11" fillId="62" borderId="166" applyNumberFormat="0" applyFont="0" applyAlignment="0" applyProtection="0"/>
    <xf numFmtId="0" fontId="11" fillId="62" borderId="197" applyNumberFormat="0" applyFont="0" applyAlignment="0" applyProtection="0"/>
    <xf numFmtId="0" fontId="90" fillId="59" borderId="198" applyNumberFormat="0" applyAlignment="0" applyProtection="0"/>
    <xf numFmtId="0" fontId="9" fillId="62" borderId="197" applyNumberFormat="0" applyFont="0" applyAlignment="0" applyProtection="0"/>
    <xf numFmtId="0" fontId="90" fillId="59" borderId="198" applyNumberFormat="0" applyAlignment="0" applyProtection="0"/>
    <xf numFmtId="0" fontId="12" fillId="0" borderId="200">
      <alignment horizontal="left" vertical="center"/>
    </xf>
    <xf numFmtId="0" fontId="81" fillId="59" borderId="165" applyNumberFormat="0" applyAlignment="0" applyProtection="0"/>
    <xf numFmtId="0" fontId="87" fillId="46" borderId="196" applyNumberFormat="0" applyAlignment="0" applyProtection="0"/>
    <xf numFmtId="0" fontId="64" fillId="59" borderId="165" applyNumberFormat="0" applyAlignment="0" applyProtection="0"/>
    <xf numFmtId="0" fontId="87" fillId="46" borderId="165" applyNumberFormat="0" applyAlignment="0" applyProtection="0"/>
    <xf numFmtId="0" fontId="71" fillId="46" borderId="165" applyNumberFormat="0" applyAlignment="0" applyProtection="0"/>
    <xf numFmtId="0" fontId="81" fillId="59" borderId="165" applyNumberFormat="0" applyAlignment="0" applyProtection="0"/>
    <xf numFmtId="0" fontId="11" fillId="62" borderId="166" applyNumberFormat="0" applyFont="0" applyAlignment="0" applyProtection="0"/>
    <xf numFmtId="0" fontId="74" fillId="59" borderId="167" applyNumberFormat="0" applyAlignment="0" applyProtection="0"/>
    <xf numFmtId="0" fontId="76" fillId="0" borderId="168" applyNumberFormat="0" applyFill="0" applyAlignment="0" applyProtection="0"/>
    <xf numFmtId="0" fontId="87" fillId="46" borderId="196" applyNumberFormat="0" applyAlignment="0" applyProtection="0"/>
    <xf numFmtId="0" fontId="9" fillId="62" borderId="166" applyNumberFormat="0" applyFont="0" applyAlignment="0" applyProtection="0"/>
    <xf numFmtId="0" fontId="81" fillId="59" borderId="165" applyNumberFormat="0" applyAlignment="0" applyProtection="0"/>
    <xf numFmtId="0" fontId="81" fillId="59" borderId="196" applyNumberFormat="0" applyAlignment="0" applyProtection="0"/>
    <xf numFmtId="0" fontId="9" fillId="62" borderId="197" applyNumberFormat="0" applyFont="0" applyAlignment="0" applyProtection="0"/>
    <xf numFmtId="0" fontId="81" fillId="59" borderId="196" applyNumberFormat="0" applyAlignment="0" applyProtection="0"/>
    <xf numFmtId="0" fontId="9" fillId="62" borderId="166" applyNumberFormat="0" applyFont="0" applyAlignment="0" applyProtection="0"/>
    <xf numFmtId="0" fontId="85" fillId="0" borderId="178" applyNumberFormat="0" applyFill="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7" fillId="46" borderId="177" applyNumberFormat="0" applyAlignment="0" applyProtection="0"/>
    <xf numFmtId="0" fontId="64" fillId="59" borderId="202" applyNumberFormat="0" applyAlignment="0" applyProtection="0"/>
    <xf numFmtId="0" fontId="85" fillId="0" borderId="190" applyNumberFormat="0" applyFill="0" applyAlignment="0" applyProtection="0"/>
    <xf numFmtId="0" fontId="64" fillId="59" borderId="154" applyNumberFormat="0" applyAlignment="0" applyProtection="0"/>
    <xf numFmtId="0" fontId="9" fillId="62" borderId="166" applyNumberFormat="0" applyFont="0" applyAlignment="0" applyProtection="0"/>
    <xf numFmtId="0" fontId="81" fillId="59" borderId="154" applyNumberFormat="0" applyAlignment="0" applyProtection="0"/>
    <xf numFmtId="0" fontId="81" fillId="59" borderId="154" applyNumberFormat="0" applyAlignment="0" applyProtection="0"/>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10" fontId="11" fillId="3" borderId="164" applyNumberFormat="0" applyBorder="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90" fillId="59" borderId="167" applyNumberFormat="0" applyAlignment="0" applyProtection="0"/>
    <xf numFmtId="0" fontId="11" fillId="62" borderId="166" applyNumberFormat="0" applyFont="0" applyAlignment="0" applyProtection="0"/>
    <xf numFmtId="0" fontId="81" fillId="59" borderId="165" applyNumberFormat="0" applyAlignment="0" applyProtection="0"/>
    <xf numFmtId="0" fontId="81" fillId="59" borderId="196" applyNumberFormat="0" applyAlignment="0" applyProtection="0"/>
    <xf numFmtId="0" fontId="81" fillId="59" borderId="196" applyNumberFormat="0" applyAlignment="0" applyProtection="0"/>
    <xf numFmtId="0" fontId="12" fillId="0" borderId="200">
      <alignment horizontal="left" vertical="center"/>
    </xf>
    <xf numFmtId="0" fontId="81" fillId="59" borderId="165" applyNumberForma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 fillId="62" borderId="203" applyNumberFormat="0" applyFont="0" applyAlignment="0" applyProtection="0"/>
    <xf numFmtId="0" fontId="90" fillId="59" borderId="204" applyNumberFormat="0" applyAlignment="0" applyProtection="0"/>
    <xf numFmtId="0" fontId="81" fillId="59" borderId="177" applyNumberFormat="0" applyAlignment="0" applyProtection="0"/>
    <xf numFmtId="0" fontId="87" fillId="46" borderId="196" applyNumberFormat="0" applyAlignment="0" applyProtection="0"/>
    <xf numFmtId="0" fontId="87" fillId="46" borderId="196" applyNumberFormat="0" applyAlignment="0" applyProtection="0"/>
    <xf numFmtId="0" fontId="81" fillId="59" borderId="165" applyNumberFormat="0" applyAlignment="0" applyProtection="0"/>
    <xf numFmtId="0" fontId="9" fillId="62" borderId="197" applyNumberFormat="0" applyFont="0" applyAlignment="0" applyProtection="0"/>
    <xf numFmtId="0" fontId="9" fillId="62" borderId="191" applyNumberFormat="0" applyFont="0" applyAlignment="0" applyProtection="0"/>
    <xf numFmtId="0" fontId="12" fillId="0" borderId="200">
      <alignment horizontal="left" vertical="center"/>
    </xf>
    <xf numFmtId="0" fontId="9" fillId="62" borderId="197" applyNumberFormat="0" applyFont="0" applyAlignment="0" applyProtection="0"/>
    <xf numFmtId="0" fontId="9" fillId="62" borderId="197" applyNumberFormat="0" applyFont="0" applyAlignment="0" applyProtection="0"/>
    <xf numFmtId="0" fontId="12" fillId="0" borderId="200">
      <alignment horizontal="left" vertical="center"/>
    </xf>
    <xf numFmtId="0" fontId="87" fillId="46" borderId="202" applyNumberFormat="0" applyAlignment="0" applyProtection="0"/>
    <xf numFmtId="0" fontId="90" fillId="59" borderId="198" applyNumberFormat="0" applyAlignment="0" applyProtection="0"/>
    <xf numFmtId="0" fontId="9" fillId="62" borderId="197" applyNumberFormat="0" applyFont="0" applyAlignment="0" applyProtection="0"/>
    <xf numFmtId="0" fontId="90" fillId="59" borderId="198" applyNumberFormat="0" applyAlignment="0" applyProtection="0"/>
    <xf numFmtId="0" fontId="12" fillId="0" borderId="200">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10" fontId="11" fillId="3" borderId="164" applyNumberFormat="0" applyBorder="0" applyAlignment="0" applyProtection="0"/>
    <xf numFmtId="0" fontId="12" fillId="0" borderId="169">
      <alignment horizontal="left" vertical="center"/>
    </xf>
    <xf numFmtId="0" fontId="81" fillId="59" borderId="165" applyNumberFormat="0" applyAlignment="0" applyProtection="0"/>
    <xf numFmtId="0" fontId="81" fillId="59" borderId="165" applyNumberFormat="0" applyAlignment="0" applyProtection="0"/>
    <xf numFmtId="0" fontId="12" fillId="0" borderId="169">
      <alignment horizontal="left" vertical="center"/>
    </xf>
    <xf numFmtId="0" fontId="81" fillId="59" borderId="165" applyNumberFormat="0" applyAlignment="0" applyProtection="0"/>
    <xf numFmtId="0" fontId="90" fillId="59" borderId="167" applyNumberFormat="0" applyAlignment="0" applyProtection="0"/>
    <xf numFmtId="0" fontId="81" fillId="59" borderId="154" applyNumberFormat="0" applyAlignment="0" applyProtection="0"/>
    <xf numFmtId="0" fontId="87" fillId="46" borderId="165" applyNumberFormat="0" applyAlignment="0" applyProtection="0"/>
    <xf numFmtId="0" fontId="87" fillId="46" borderId="196" applyNumberFormat="0" applyAlignment="0" applyProtection="0"/>
    <xf numFmtId="0" fontId="87" fillId="46" borderId="165" applyNumberFormat="0" applyAlignment="0" applyProtection="0"/>
    <xf numFmtId="0" fontId="90" fillId="59" borderId="167" applyNumberFormat="0" applyAlignment="0" applyProtection="0"/>
    <xf numFmtId="0" fontId="74" fillId="59" borderId="167" applyNumberFormat="0" applyAlignment="0" applyProtection="0"/>
    <xf numFmtId="0" fontId="81" fillId="59" borderId="165" applyNumberFormat="0" applyAlignment="0" applyProtection="0"/>
    <xf numFmtId="0" fontId="12" fillId="0" borderId="169">
      <alignment horizontal="left" vertical="center"/>
    </xf>
    <xf numFmtId="0" fontId="81" fillId="59" borderId="154" applyNumberFormat="0" applyAlignment="0" applyProtection="0"/>
    <xf numFmtId="0" fontId="81" fillId="59" borderId="165" applyNumberFormat="0" applyAlignment="0" applyProtection="0"/>
    <xf numFmtId="0" fontId="81" fillId="59" borderId="165" applyNumberFormat="0" applyAlignment="0" applyProtection="0"/>
    <xf numFmtId="0" fontId="87" fillId="46" borderId="196" applyNumberFormat="0" applyAlignment="0" applyProtection="0"/>
    <xf numFmtId="0" fontId="87" fillId="46" borderId="165" applyNumberFormat="0" applyAlignment="0" applyProtection="0"/>
    <xf numFmtId="0" fontId="87" fillId="46" borderId="165" applyNumberFormat="0" applyAlignment="0" applyProtection="0"/>
    <xf numFmtId="0" fontId="81" fillId="59" borderId="202" applyNumberFormat="0" applyAlignment="0" applyProtection="0"/>
    <xf numFmtId="0" fontId="9" fillId="62" borderId="197" applyNumberFormat="0" applyFont="0" applyAlignment="0" applyProtection="0"/>
    <xf numFmtId="0" fontId="9" fillId="62" borderId="166" applyNumberFormat="0" applyFont="0" applyAlignment="0" applyProtection="0"/>
    <xf numFmtId="0" fontId="81" fillId="59" borderId="165" applyNumberFormat="0" applyAlignment="0" applyProtection="0"/>
    <xf numFmtId="0" fontId="81" fillId="59" borderId="154" applyNumberFormat="0" applyAlignment="0" applyProtection="0"/>
    <xf numFmtId="0" fontId="81" fillId="59" borderId="177" applyNumberFormat="0" applyAlignment="0" applyProtection="0"/>
    <xf numFmtId="0" fontId="81" fillId="59" borderId="165" applyNumberFormat="0" applyAlignment="0" applyProtection="0"/>
    <xf numFmtId="10" fontId="11" fillId="3" borderId="175" applyNumberFormat="0" applyBorder="0" applyAlignment="0" applyProtection="0"/>
    <xf numFmtId="0" fontId="87" fillId="46" borderId="196" applyNumberFormat="0" applyAlignment="0" applyProtection="0"/>
    <xf numFmtId="0" fontId="81" fillId="59" borderId="165" applyNumberFormat="0" applyAlignment="0" applyProtection="0"/>
    <xf numFmtId="0" fontId="64" fillId="59" borderId="165" applyNumberFormat="0" applyAlignment="0" applyProtection="0"/>
    <xf numFmtId="0" fontId="71" fillId="46" borderId="165" applyNumberFormat="0" applyAlignment="0" applyProtection="0"/>
    <xf numFmtId="0" fontId="11" fillId="62" borderId="166" applyNumberFormat="0" applyFont="0" applyAlignment="0" applyProtection="0"/>
    <xf numFmtId="0" fontId="74" fillId="59" borderId="167" applyNumberFormat="0" applyAlignment="0" applyProtection="0"/>
    <xf numFmtId="0" fontId="76" fillId="0" borderId="168" applyNumberFormat="0" applyFill="0" applyAlignment="0" applyProtection="0"/>
    <xf numFmtId="0" fontId="81" fillId="59" borderId="165" applyNumberFormat="0" applyAlignment="0" applyProtection="0"/>
    <xf numFmtId="0" fontId="90" fillId="59" borderId="198"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90" fillId="59" borderId="198" applyNumberFormat="0" applyAlignment="0" applyProtection="0"/>
    <xf numFmtId="0" fontId="90" fillId="59" borderId="198" applyNumberFormat="0" applyAlignment="0" applyProtection="0"/>
    <xf numFmtId="0" fontId="87" fillId="46" borderId="196" applyNumberFormat="0" applyAlignment="0" applyProtection="0"/>
    <xf numFmtId="0" fontId="9" fillId="62" borderId="197" applyNumberFormat="0" applyFont="0" applyAlignment="0" applyProtection="0"/>
    <xf numFmtId="0" fontId="90" fillId="59" borderId="198" applyNumberFormat="0" applyAlignment="0" applyProtection="0"/>
    <xf numFmtId="0" fontId="81" fillId="59" borderId="196" applyNumberFormat="0" applyAlignment="0" applyProtection="0"/>
    <xf numFmtId="0" fontId="81" fillId="59" borderId="177" applyNumberFormat="0" applyAlignment="0" applyProtection="0"/>
    <xf numFmtId="0" fontId="81" fillId="59" borderId="177" applyNumberFormat="0" applyAlignment="0" applyProtection="0"/>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10" fontId="11" fillId="3" borderId="164" applyNumberFormat="0" applyBorder="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12" fillId="0" borderId="169">
      <alignment horizontal="left" vertical="center"/>
    </xf>
    <xf numFmtId="0" fontId="12" fillId="0" borderId="169">
      <alignment horizontal="left" vertical="center"/>
    </xf>
    <xf numFmtId="0" fontId="71" fillId="46" borderId="165" applyNumberFormat="0" applyAlignment="0" applyProtection="0"/>
    <xf numFmtId="0" fontId="81" fillId="59" borderId="165" applyNumberForma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12" fillId="0" borderId="169">
      <alignment horizontal="left" vertical="center"/>
    </xf>
    <xf numFmtId="0" fontId="90" fillId="59" borderId="167" applyNumberFormat="0" applyAlignment="0" applyProtection="0"/>
    <xf numFmtId="0" fontId="81" fillId="59" borderId="165" applyNumberFormat="0" applyAlignment="0" applyProtection="0"/>
    <xf numFmtId="0" fontId="81" fillId="59" borderId="165" applyNumberFormat="0" applyAlignment="0" applyProtection="0"/>
    <xf numFmtId="0" fontId="76" fillId="0" borderId="168" applyNumberFormat="0" applyFill="0" applyAlignment="0" applyProtection="0"/>
    <xf numFmtId="0" fontId="90" fillId="59" borderId="198" applyNumberFormat="0" applyAlignment="0" applyProtection="0"/>
    <xf numFmtId="0" fontId="90" fillId="59" borderId="167" applyNumberFormat="0" applyAlignment="0" applyProtection="0"/>
    <xf numFmtId="0" fontId="81" fillId="59" borderId="165" applyNumberFormat="0" applyAlignment="0" applyProtection="0"/>
    <xf numFmtId="0" fontId="81" fillId="59" borderId="170" applyNumberFormat="0" applyAlignment="0" applyProtection="0"/>
    <xf numFmtId="0" fontId="81" fillId="59" borderId="165" applyNumberFormat="0" applyAlignment="0" applyProtection="0"/>
    <xf numFmtId="0" fontId="81" fillId="59"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64" fillId="59" borderId="165" applyNumberFormat="0" applyAlignment="0" applyProtection="0"/>
    <xf numFmtId="0" fontId="81" fillId="59" borderId="165" applyNumberForma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12" fillId="0" borderId="174">
      <alignment horizontal="left" vertical="center"/>
    </xf>
    <xf numFmtId="0" fontId="81" fillId="59" borderId="165" applyNumberFormat="0" applyAlignment="0" applyProtection="0"/>
    <xf numFmtId="0" fontId="81" fillId="59" borderId="196" applyNumberFormat="0" applyAlignment="0" applyProtection="0"/>
    <xf numFmtId="0" fontId="90" fillId="59" borderId="167" applyNumberFormat="0" applyAlignment="0" applyProtection="0"/>
    <xf numFmtId="0" fontId="12" fillId="0" borderId="169">
      <alignment horizontal="left" vertical="center"/>
    </xf>
    <xf numFmtId="0" fontId="90" fillId="59" borderId="167" applyNumberFormat="0" applyAlignment="0" applyProtection="0"/>
    <xf numFmtId="0" fontId="90" fillId="59" borderId="167"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12" fillId="0" borderId="174">
      <alignment horizontal="left" vertical="center"/>
    </xf>
    <xf numFmtId="0" fontId="76" fillId="0" borderId="168" applyNumberFormat="0" applyFill="0" applyAlignment="0" applyProtection="0"/>
    <xf numFmtId="0" fontId="71" fillId="46" borderId="165" applyNumberFormat="0" applyAlignment="0" applyProtection="0"/>
    <xf numFmtId="0" fontId="64" fillId="59" borderId="165" applyNumberForma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12" fillId="0" borderId="169">
      <alignment horizontal="left" vertical="center"/>
    </xf>
    <xf numFmtId="0" fontId="81" fillId="59" borderId="154" applyNumberFormat="0" applyAlignment="0" applyProtection="0"/>
    <xf numFmtId="0" fontId="81" fillId="59" borderId="154" applyNumberFormat="0" applyAlignment="0" applyProtection="0"/>
    <xf numFmtId="0" fontId="87" fillId="46" borderId="196" applyNumberFormat="0" applyAlignment="0" applyProtection="0"/>
    <xf numFmtId="0" fontId="81" fillId="59" borderId="165" applyNumberFormat="0" applyAlignment="0" applyProtection="0"/>
    <xf numFmtId="0" fontId="81" fillId="59" borderId="165" applyNumberFormat="0" applyAlignment="0" applyProtection="0"/>
    <xf numFmtId="0" fontId="87" fillId="46" borderId="170"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0" fillId="59" borderId="167" applyNumberForma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81" fillId="59" borderId="165" applyNumberFormat="0" applyAlignment="0" applyProtection="0"/>
    <xf numFmtId="0" fontId="90" fillId="59" borderId="167" applyNumberFormat="0" applyAlignment="0" applyProtection="0"/>
    <xf numFmtId="0" fontId="90" fillId="59" borderId="167" applyNumberFormat="0" applyAlignment="0" applyProtection="0"/>
    <xf numFmtId="0" fontId="81" fillId="59" borderId="154"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64"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12" fillId="0" borderId="174">
      <alignment horizontal="left" vertical="center"/>
    </xf>
    <xf numFmtId="0" fontId="12" fillId="0" borderId="174">
      <alignment horizontal="left" vertical="center"/>
    </xf>
    <xf numFmtId="0" fontId="87" fillId="46" borderId="170" applyNumberFormat="0" applyAlignment="0" applyProtection="0"/>
    <xf numFmtId="0" fontId="76" fillId="0" borderId="173" applyNumberFormat="0" applyFill="0" applyAlignment="0" applyProtection="0"/>
    <xf numFmtId="0" fontId="11" fillId="62" borderId="155" applyNumberFormat="0" applyFont="0" applyAlignment="0" applyProtection="0"/>
    <xf numFmtId="0" fontId="81" fillId="59" borderId="154" applyNumberFormat="0" applyAlignment="0" applyProtection="0"/>
    <xf numFmtId="0" fontId="76" fillId="0" borderId="157" applyNumberFormat="0" applyFill="0" applyAlignment="0" applyProtection="0"/>
    <xf numFmtId="0" fontId="74" fillId="59" borderId="156" applyNumberFormat="0" applyAlignment="0" applyProtection="0"/>
    <xf numFmtId="0" fontId="64" fillId="59" borderId="165" applyNumberFormat="0" applyAlignment="0" applyProtection="0"/>
    <xf numFmtId="0" fontId="71" fillId="46" borderId="165" applyNumberFormat="0" applyAlignment="0" applyProtection="0"/>
    <xf numFmtId="0" fontId="11" fillId="62" borderId="166" applyNumberFormat="0" applyFont="0" applyAlignment="0" applyProtection="0"/>
    <xf numFmtId="0" fontId="74" fillId="59" borderId="167" applyNumberFormat="0" applyAlignment="0" applyProtection="0"/>
    <xf numFmtId="0" fontId="76" fillId="0" borderId="168" applyNumberFormat="0" applyFill="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10" fontId="11" fillId="3" borderId="164" applyNumberFormat="0" applyBorder="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81" fillId="59" borderId="154" applyNumberFormat="0" applyAlignment="0" applyProtection="0"/>
    <xf numFmtId="0" fontId="71" fillId="46" borderId="154" applyNumberFormat="0" applyAlignment="0" applyProtection="0"/>
    <xf numFmtId="0" fontId="12" fillId="0" borderId="174">
      <alignment horizontal="left" vertical="center"/>
    </xf>
    <xf numFmtId="0" fontId="64" fillId="59" borderId="165" applyNumberFormat="0" applyAlignment="0" applyProtection="0"/>
    <xf numFmtId="0" fontId="71" fillId="46" borderId="165" applyNumberFormat="0" applyAlignment="0" applyProtection="0"/>
    <xf numFmtId="0" fontId="11" fillId="62" borderId="166" applyNumberFormat="0" applyFont="0" applyAlignment="0" applyProtection="0"/>
    <xf numFmtId="0" fontId="74" fillId="59" borderId="167" applyNumberFormat="0" applyAlignment="0" applyProtection="0"/>
    <xf numFmtId="0" fontId="76" fillId="0" borderId="168" applyNumberFormat="0" applyFill="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81" fillId="59" borderId="165" applyNumberFormat="0" applyAlignment="0" applyProtection="0"/>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0" fontId="12" fillId="0" borderId="169">
      <alignment horizontal="left" vertical="center"/>
    </xf>
    <xf numFmtId="10" fontId="11" fillId="3" borderId="164" applyNumberFormat="0" applyBorder="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87" fillId="46" borderId="165" applyNumberForma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90" fillId="59" borderId="167" applyNumberFormat="0" applyAlignment="0" applyProtection="0"/>
    <xf numFmtId="0" fontId="87" fillId="46" borderId="170" applyNumberFormat="0" applyAlignment="0" applyProtection="0"/>
    <xf numFmtId="0" fontId="12" fillId="0" borderId="174">
      <alignment horizontal="left" vertical="center"/>
    </xf>
    <xf numFmtId="0" fontId="12" fillId="0" borderId="158">
      <alignment horizontal="left" vertical="center"/>
    </xf>
    <xf numFmtId="0" fontId="12" fillId="0" borderId="158">
      <alignment horizontal="left" vertical="center"/>
    </xf>
    <xf numFmtId="0" fontId="12" fillId="0" borderId="158">
      <alignment horizontal="left" vertical="center"/>
    </xf>
    <xf numFmtId="0" fontId="12" fillId="0" borderId="158">
      <alignment horizontal="left" vertical="center"/>
    </xf>
    <xf numFmtId="0" fontId="12" fillId="0" borderId="158">
      <alignment horizontal="left" vertical="center"/>
    </xf>
    <xf numFmtId="0" fontId="12" fillId="0" borderId="158">
      <alignment horizontal="left" vertical="center"/>
    </xf>
    <xf numFmtId="0" fontId="12" fillId="0" borderId="158">
      <alignment horizontal="left" vertical="center"/>
    </xf>
    <xf numFmtId="0" fontId="12" fillId="0" borderId="158">
      <alignment horizontal="left" vertical="center"/>
    </xf>
    <xf numFmtId="0" fontId="12" fillId="0" borderId="158">
      <alignment horizontal="left" vertical="center"/>
    </xf>
    <xf numFmtId="10" fontId="11" fillId="3" borderId="153" applyNumberFormat="0" applyBorder="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87" fillId="46" borderId="154" applyNumberForma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 fillId="62" borderId="155" applyNumberFormat="0" applyFon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90" fillId="59" borderId="156"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87" fillId="46" borderId="196" applyNumberFormat="0" applyAlignment="0" applyProtection="0"/>
    <xf numFmtId="0" fontId="64" fillId="59" borderId="170" applyNumberFormat="0" applyAlignment="0" applyProtection="0"/>
    <xf numFmtId="0" fontId="71" fillId="46" borderId="170" applyNumberFormat="0" applyAlignment="0" applyProtection="0"/>
    <xf numFmtId="0" fontId="11" fillId="62" borderId="171" applyNumberFormat="0" applyFont="0" applyAlignment="0" applyProtection="0"/>
    <xf numFmtId="0" fontId="74" fillId="59" borderId="172" applyNumberFormat="0" applyAlignment="0" applyProtection="0"/>
    <xf numFmtId="0" fontId="76" fillId="0" borderId="173" applyNumberFormat="0" applyFill="0" applyAlignment="0" applyProtection="0"/>
    <xf numFmtId="0" fontId="9" fillId="62" borderId="197" applyNumberFormat="0" applyFont="0" applyAlignment="0" applyProtection="0"/>
    <xf numFmtId="0" fontId="12" fillId="0" borderId="200">
      <alignment horizontal="left" vertical="center"/>
    </xf>
    <xf numFmtId="0" fontId="90" fillId="59" borderId="198" applyNumberFormat="0" applyAlignment="0" applyProtection="0"/>
    <xf numFmtId="0" fontId="12" fillId="0" borderId="200">
      <alignment horizontal="left" vertical="center"/>
    </xf>
    <xf numFmtId="0" fontId="85" fillId="0" borderId="178" applyNumberFormat="0" applyFill="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7" fillId="46" borderId="177" applyNumberFormat="0" applyAlignment="0" applyProtection="0"/>
    <xf numFmtId="0" fontId="81" fillId="59" borderId="196"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1" fillId="59" borderId="196" applyNumberFormat="0" applyAlignment="0" applyProtection="0"/>
    <xf numFmtId="0" fontId="12" fillId="0" borderId="200">
      <alignment horizontal="left" vertical="center"/>
    </xf>
    <xf numFmtId="0" fontId="12" fillId="0" borderId="200">
      <alignment horizontal="left" vertical="center"/>
    </xf>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204" applyNumberFormat="0" applyAlignment="0" applyProtection="0"/>
    <xf numFmtId="0" fontId="11" fillId="62" borderId="179" applyNumberFormat="0" applyFont="0" applyAlignment="0" applyProtection="0"/>
    <xf numFmtId="0" fontId="81" fillId="59" borderId="177" applyNumberFormat="0" applyAlignment="0" applyProtection="0"/>
    <xf numFmtId="0" fontId="87" fillId="46" borderId="196" applyNumberFormat="0" applyAlignment="0" applyProtection="0"/>
    <xf numFmtId="0" fontId="87" fillId="46" borderId="196" applyNumberFormat="0" applyAlignment="0" applyProtection="0"/>
    <xf numFmtId="0" fontId="9" fillId="62" borderId="197" applyNumberFormat="0" applyFont="0" applyAlignment="0" applyProtection="0"/>
    <xf numFmtId="0" fontId="90" fillId="59" borderId="192" applyNumberFormat="0" applyAlignment="0" applyProtection="0"/>
    <xf numFmtId="0" fontId="81" fillId="59" borderId="196"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87" fillId="46" borderId="196" applyNumberFormat="0" applyAlignment="0" applyProtection="0"/>
    <xf numFmtId="0" fontId="9" fillId="62" borderId="203" applyNumberFormat="0" applyFont="0" applyAlignment="0" applyProtection="0"/>
    <xf numFmtId="0" fontId="90" fillId="59" borderId="198" applyNumberFormat="0" applyAlignment="0" applyProtection="0"/>
    <xf numFmtId="0" fontId="9" fillId="62" borderId="197" applyNumberFormat="0" applyFont="0" applyAlignment="0" applyProtection="0"/>
    <xf numFmtId="0" fontId="87" fillId="46" borderId="202" applyNumberFormat="0" applyAlignment="0" applyProtection="0"/>
    <xf numFmtId="0" fontId="12" fillId="0" borderId="200">
      <alignment horizontal="left" vertical="center"/>
    </xf>
    <xf numFmtId="0" fontId="87" fillId="46" borderId="196" applyNumberFormat="0" applyAlignment="0" applyProtection="0"/>
    <xf numFmtId="0" fontId="64" fillId="59" borderId="170" applyNumberFormat="0" applyAlignment="0" applyProtection="0"/>
    <xf numFmtId="0" fontId="71" fillId="46" borderId="170" applyNumberFormat="0" applyAlignment="0" applyProtection="0"/>
    <xf numFmtId="0" fontId="11" fillId="62" borderId="171" applyNumberFormat="0" applyFont="0" applyAlignment="0" applyProtection="0"/>
    <xf numFmtId="0" fontId="74" fillId="59" borderId="172" applyNumberFormat="0" applyAlignment="0" applyProtection="0"/>
    <xf numFmtId="0" fontId="76" fillId="0" borderId="173" applyNumberFormat="0" applyFill="0" applyAlignment="0" applyProtection="0"/>
    <xf numFmtId="0" fontId="87" fillId="46" borderId="196" applyNumberFormat="0" applyAlignment="0" applyProtection="0"/>
    <xf numFmtId="0" fontId="12" fillId="0" borderId="200">
      <alignment horizontal="left" vertical="center"/>
    </xf>
    <xf numFmtId="0" fontId="90" fillId="59" borderId="198" applyNumberFormat="0" applyAlignment="0" applyProtection="0"/>
    <xf numFmtId="0" fontId="85" fillId="0" borderId="178" applyNumberFormat="0" applyFill="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7" fillId="46" borderId="177" applyNumberFormat="0" applyAlignment="0" applyProtection="0"/>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10" fontId="11" fillId="3" borderId="175" applyNumberFormat="0" applyBorder="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1" fillId="59" borderId="196" applyNumberFormat="0" applyAlignment="0" applyProtection="0"/>
    <xf numFmtId="0" fontId="81" fillId="59" borderId="196" applyNumberFormat="0" applyAlignment="0" applyProtection="0"/>
    <xf numFmtId="0" fontId="12" fillId="0" borderId="200">
      <alignment horizontal="left" vertical="center"/>
    </xf>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 fillId="62" borderId="203" applyNumberFormat="0" applyFont="0" applyAlignment="0" applyProtection="0"/>
    <xf numFmtId="0" fontId="81" fillId="59" borderId="177" applyNumberFormat="0" applyAlignment="0" applyProtection="0"/>
    <xf numFmtId="0" fontId="87" fillId="46" borderId="196" applyNumberFormat="0" applyAlignment="0" applyProtection="0"/>
    <xf numFmtId="0" fontId="87" fillId="46" borderId="196" applyNumberFormat="0" applyAlignment="0" applyProtection="0"/>
    <xf numFmtId="0" fontId="9" fillId="62" borderId="197" applyNumberFormat="0" applyFont="0" applyAlignment="0" applyProtection="0"/>
    <xf numFmtId="0" fontId="9" fillId="62" borderId="191" applyNumberFormat="0" applyFont="0" applyAlignment="0" applyProtection="0"/>
    <xf numFmtId="0" fontId="12" fillId="0" borderId="200">
      <alignment horizontal="left" vertical="center"/>
    </xf>
    <xf numFmtId="0" fontId="9" fillId="62" borderId="197" applyNumberFormat="0" applyFont="0" applyAlignment="0" applyProtection="0"/>
    <xf numFmtId="0" fontId="9" fillId="62" borderId="197" applyNumberFormat="0" applyFont="0" applyAlignment="0" applyProtection="0"/>
    <xf numFmtId="0" fontId="87" fillId="46" borderId="196" applyNumberFormat="0" applyAlignment="0" applyProtection="0"/>
    <xf numFmtId="0" fontId="87" fillId="46" borderId="202" applyNumberFormat="0" applyAlignment="0" applyProtection="0"/>
    <xf numFmtId="0" fontId="90" fillId="59" borderId="198" applyNumberFormat="0" applyAlignment="0" applyProtection="0"/>
    <xf numFmtId="0" fontId="9" fillId="62" borderId="197" applyNumberFormat="0" applyFont="0" applyAlignment="0" applyProtection="0"/>
    <xf numFmtId="0" fontId="90" fillId="59" borderId="198" applyNumberFormat="0" applyAlignment="0" applyProtection="0"/>
    <xf numFmtId="0" fontId="12" fillId="0" borderId="200">
      <alignment horizontal="left" vertical="center"/>
    </xf>
    <xf numFmtId="0" fontId="87" fillId="46" borderId="196" applyNumberFormat="0" applyAlignment="0" applyProtection="0"/>
    <xf numFmtId="0" fontId="81" fillId="59" borderId="170" applyNumberFormat="0" applyAlignment="0" applyProtection="0"/>
    <xf numFmtId="0" fontId="11" fillId="62" borderId="171" applyNumberFormat="0" applyFont="0" applyAlignment="0" applyProtection="0"/>
    <xf numFmtId="0" fontId="90" fillId="59" borderId="172" applyNumberFormat="0" applyAlignment="0" applyProtection="0"/>
    <xf numFmtId="0" fontId="9" fillId="62" borderId="171" applyNumberFormat="0" applyFont="0" applyAlignment="0" applyProtection="0"/>
    <xf numFmtId="0" fontId="87" fillId="46" borderId="170" applyNumberFormat="0" applyAlignment="0" applyProtection="0"/>
    <xf numFmtId="0" fontId="12" fillId="0" borderId="174">
      <alignment horizontal="left" vertical="center"/>
    </xf>
    <xf numFmtId="0" fontId="64" fillId="59" borderId="170" applyNumberFormat="0" applyAlignment="0" applyProtection="0"/>
    <xf numFmtId="0" fontId="87" fillId="46" borderId="170" applyNumberFormat="0" applyAlignment="0" applyProtection="0"/>
    <xf numFmtId="0" fontId="87" fillId="46" borderId="170" applyNumberFormat="0" applyAlignment="0" applyProtection="0"/>
    <xf numFmtId="0" fontId="71" fillId="46" borderId="170" applyNumberFormat="0" applyAlignment="0" applyProtection="0"/>
    <xf numFmtId="0" fontId="87" fillId="46" borderId="196"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11" fillId="62" borderId="171" applyNumberFormat="0" applyFont="0" applyAlignment="0" applyProtection="0"/>
    <xf numFmtId="0" fontId="74" fillId="59" borderId="172" applyNumberFormat="0" applyAlignment="0" applyProtection="0"/>
    <xf numFmtId="10" fontId="11" fillId="3" borderId="175" applyNumberFormat="0" applyBorder="0" applyAlignment="0" applyProtection="0"/>
    <xf numFmtId="0" fontId="76" fillId="0" borderId="173" applyNumberFormat="0" applyFill="0" applyAlignment="0" applyProtection="0"/>
    <xf numFmtId="0" fontId="9" fillId="62" borderId="197" applyNumberFormat="0" applyFon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1" fillId="59" borderId="170" applyNumberFormat="0" applyAlignment="0" applyProtection="0"/>
    <xf numFmtId="0" fontId="87" fillId="46" borderId="196" applyNumberFormat="0" applyAlignment="0" applyProtection="0"/>
    <xf numFmtId="0" fontId="81" fillId="59" borderId="170" applyNumberFormat="0" applyAlignment="0" applyProtection="0"/>
    <xf numFmtId="0" fontId="12" fillId="0" borderId="200">
      <alignment horizontal="left" vertical="center"/>
    </xf>
    <xf numFmtId="0" fontId="81" fillId="59" borderId="170" applyNumberFormat="0" applyAlignment="0" applyProtection="0"/>
    <xf numFmtId="0" fontId="90" fillId="59" borderId="198" applyNumberFormat="0" applyAlignment="0" applyProtection="0"/>
    <xf numFmtId="0" fontId="12" fillId="0" borderId="200">
      <alignment horizontal="left" vertical="center"/>
    </xf>
    <xf numFmtId="0" fontId="9" fillId="62" borderId="171" applyNumberFormat="0" applyFont="0" applyAlignment="0" applyProtection="0"/>
    <xf numFmtId="0" fontId="87" fillId="46" borderId="170" applyNumberFormat="0" applyAlignment="0" applyProtection="0"/>
    <xf numFmtId="0" fontId="85" fillId="0" borderId="178" applyNumberFormat="0" applyFill="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7" fillId="46" borderId="170" applyNumberFormat="0" applyAlignment="0" applyProtection="0"/>
    <xf numFmtId="0" fontId="81" fillId="59" borderId="170" applyNumberFormat="0" applyAlignment="0" applyProtection="0"/>
    <xf numFmtId="0" fontId="76" fillId="0" borderId="173" applyNumberFormat="0" applyFill="0" applyAlignment="0" applyProtection="0"/>
    <xf numFmtId="0" fontId="74" fillId="59" borderId="172" applyNumberFormat="0" applyAlignment="0" applyProtection="0"/>
    <xf numFmtId="0" fontId="71" fillId="46" borderId="170" applyNumberFormat="0" applyAlignment="0" applyProtection="0"/>
    <xf numFmtId="0" fontId="64" fillId="59" borderId="170" applyNumberFormat="0" applyAlignment="0" applyProtection="0"/>
    <xf numFmtId="0" fontId="81" fillId="59" borderId="170" applyNumberFormat="0" applyAlignment="0" applyProtection="0"/>
    <xf numFmtId="0" fontId="87" fillId="46" borderId="170" applyNumberFormat="0" applyAlignment="0" applyProtection="0"/>
    <xf numFmtId="0" fontId="81" fillId="59" borderId="170" applyNumberFormat="0" applyAlignment="0" applyProtection="0"/>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76" fillId="0" borderId="173" applyNumberFormat="0" applyFill="0" applyAlignment="0" applyProtection="0"/>
    <xf numFmtId="0" fontId="11" fillId="62" borderId="171" applyNumberFormat="0" applyFont="0" applyAlignment="0" applyProtection="0"/>
    <xf numFmtId="0" fontId="71" fillId="46" borderId="170" applyNumberFormat="0" applyAlignment="0" applyProtection="0"/>
    <xf numFmtId="0" fontId="64" fillId="59" borderId="170" applyNumberFormat="0" applyAlignment="0" applyProtection="0"/>
    <xf numFmtId="0" fontId="74" fillId="59" borderId="172" applyNumberFormat="0" applyAlignment="0" applyProtection="0"/>
    <xf numFmtId="0" fontId="11" fillId="62" borderId="171" applyNumberFormat="0" applyFont="0" applyAlignment="0" applyProtection="0"/>
    <xf numFmtId="0" fontId="74" fillId="59" borderId="172" applyNumberFormat="0" applyAlignment="0" applyProtection="0"/>
    <xf numFmtId="0" fontId="81" fillId="59" borderId="170"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11" fillId="62" borderId="171" applyNumberFormat="0" applyFon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90" fillId="59" borderId="198" applyNumberFormat="0" applyAlignment="0" applyProtection="0"/>
    <xf numFmtId="0" fontId="81" fillId="59" borderId="170" applyNumberFormat="0" applyAlignment="0" applyProtection="0"/>
    <xf numFmtId="0" fontId="81" fillId="59" borderId="170" applyNumberFormat="0" applyAlignment="0" applyProtection="0"/>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10" fontId="11" fillId="3" borderId="175" applyNumberFormat="0" applyBorder="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7" applyNumberFormat="0" applyAlignment="0" applyProtection="0"/>
    <xf numFmtId="0" fontId="9" fillId="62" borderId="171" applyNumberFormat="0" applyFont="0" applyAlignment="0" applyProtection="0"/>
    <xf numFmtId="0" fontId="9" fillId="62" borderId="171" applyNumberFormat="0" applyFont="0" applyAlignment="0" applyProtection="0"/>
    <xf numFmtId="0" fontId="90" fillId="59" borderId="172" applyNumberFormat="0" applyAlignment="0" applyProtection="0"/>
    <xf numFmtId="0" fontId="81" fillId="59" borderId="170" applyNumberFormat="0" applyAlignment="0" applyProtection="0"/>
    <xf numFmtId="0" fontId="81" fillId="59" borderId="170" applyNumberFormat="0" applyAlignment="0" applyProtection="0"/>
    <xf numFmtId="0" fontId="71" fillId="46" borderId="170" applyNumberFormat="0" applyAlignment="0" applyProtection="0"/>
    <xf numFmtId="0" fontId="90" fillId="59" borderId="172" applyNumberFormat="0" applyAlignment="0" applyProtection="0"/>
    <xf numFmtId="0" fontId="81" fillId="59" borderId="170" applyNumberFormat="0" applyAlignment="0" applyProtection="0"/>
    <xf numFmtId="0" fontId="81" fillId="59" borderId="170" applyNumberFormat="0" applyAlignment="0" applyProtection="0"/>
    <xf numFmtId="0" fontId="90" fillId="59" borderId="172" applyNumberFormat="0" applyAlignment="0" applyProtection="0"/>
    <xf numFmtId="0" fontId="9" fillId="62" borderId="171" applyNumberFormat="0" applyFont="0" applyAlignment="0" applyProtection="0"/>
    <xf numFmtId="0" fontId="64" fillId="59" borderId="170" applyNumberFormat="0" applyAlignment="0" applyProtection="0"/>
    <xf numFmtId="0" fontId="71" fillId="46" borderId="170" applyNumberFormat="0" applyAlignment="0" applyProtection="0"/>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81" fillId="59" borderId="170" applyNumberFormat="0" applyAlignment="0" applyProtection="0"/>
    <xf numFmtId="0" fontId="11" fillId="62" borderId="171" applyNumberFormat="0" applyFont="0" applyAlignment="0" applyProtection="0"/>
    <xf numFmtId="0" fontId="74" fillId="59" borderId="172" applyNumberFormat="0" applyAlignment="0" applyProtection="0"/>
    <xf numFmtId="0" fontId="76" fillId="0" borderId="173" applyNumberFormat="0" applyFill="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10" fontId="11" fillId="3" borderId="175" applyNumberFormat="0" applyBorder="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9" fillId="62" borderId="171" applyNumberFormat="0" applyFont="0" applyAlignment="0" applyProtection="0"/>
    <xf numFmtId="0" fontId="9" fillId="62" borderId="171" applyNumberFormat="0" applyFont="0" applyAlignment="0" applyProtection="0"/>
    <xf numFmtId="0" fontId="81" fillId="59"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90" fillId="59" borderId="198" applyNumberFormat="0" applyAlignment="0" applyProtection="0"/>
    <xf numFmtId="0" fontId="81" fillId="59"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1" fillId="59" borderId="202"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90" fillId="59" borderId="198" applyNumberFormat="0" applyAlignment="0" applyProtection="0"/>
    <xf numFmtId="0" fontId="90" fillId="59" borderId="198" applyNumberFormat="0" applyAlignment="0" applyProtection="0"/>
    <xf numFmtId="0" fontId="12" fillId="0" borderId="174">
      <alignment horizontal="left" vertical="center"/>
    </xf>
    <xf numFmtId="0" fontId="87" fillId="46" borderId="170" applyNumberFormat="0" applyAlignment="0" applyProtection="0"/>
    <xf numFmtId="0" fontId="9" fillId="62" borderId="171" applyNumberFormat="0" applyFont="0" applyAlignment="0" applyProtection="0"/>
    <xf numFmtId="0" fontId="81" fillId="59" borderId="170" applyNumberFormat="0" applyAlignment="0" applyProtection="0"/>
    <xf numFmtId="0" fontId="90" fillId="59" borderId="172" applyNumberFormat="0" applyAlignment="0" applyProtection="0"/>
    <xf numFmtId="0" fontId="12" fillId="0" borderId="174">
      <alignment horizontal="left" vertical="center"/>
    </xf>
    <xf numFmtId="0" fontId="90" fillId="59" borderId="172" applyNumberFormat="0" applyAlignment="0" applyProtection="0"/>
    <xf numFmtId="0" fontId="87" fillId="46" borderId="170" applyNumberFormat="0" applyAlignment="0" applyProtection="0"/>
    <xf numFmtId="0" fontId="12" fillId="0" borderId="174">
      <alignment horizontal="left" vertical="center"/>
    </xf>
    <xf numFmtId="0" fontId="12" fillId="0" borderId="174">
      <alignment horizontal="left" vertical="center"/>
    </xf>
    <xf numFmtId="0" fontId="64" fillId="59" borderId="170" applyNumberFormat="0" applyAlignment="0" applyProtection="0"/>
    <xf numFmtId="0" fontId="71" fillId="46" borderId="170" applyNumberFormat="0" applyAlignment="0" applyProtection="0"/>
    <xf numFmtId="0" fontId="74" fillId="59" borderId="172" applyNumberFormat="0" applyAlignment="0" applyProtection="0"/>
    <xf numFmtId="0" fontId="76" fillId="0" borderId="173" applyNumberFormat="0" applyFill="0" applyAlignment="0" applyProtection="0"/>
    <xf numFmtId="0" fontId="81" fillId="59" borderId="170" applyNumberFormat="0" applyAlignment="0" applyProtection="0"/>
    <xf numFmtId="0" fontId="81" fillId="59" borderId="196" applyNumberFormat="0" applyAlignment="0" applyProtection="0"/>
    <xf numFmtId="0" fontId="81" fillId="59" borderId="196" applyNumberFormat="0" applyAlignment="0" applyProtection="0"/>
    <xf numFmtId="0" fontId="12" fillId="0" borderId="200">
      <alignment horizontal="left" vertical="center"/>
    </xf>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81" fillId="59" borderId="170" applyNumberFormat="0" applyAlignment="0" applyProtection="0"/>
    <xf numFmtId="0" fontId="81" fillId="59" borderId="170" applyNumberFormat="0" applyAlignment="0" applyProtection="0"/>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10" fontId="11" fillId="3" borderId="175" applyNumberFormat="0" applyBorder="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90" fillId="59" borderId="204" applyNumberFormat="0" applyAlignment="0" applyProtection="0"/>
    <xf numFmtId="0" fontId="81" fillId="59" borderId="170" applyNumberFormat="0" applyAlignment="0" applyProtection="0"/>
    <xf numFmtId="0" fontId="71" fillId="46" borderId="177" applyNumberFormat="0" applyAlignment="0" applyProtection="0"/>
    <xf numFmtId="0" fontId="81" fillId="59" borderId="177" applyNumberFormat="0" applyAlignment="0" applyProtection="0"/>
    <xf numFmtId="0" fontId="87" fillId="46" borderId="196" applyNumberFormat="0" applyAlignment="0" applyProtection="0"/>
    <xf numFmtId="0" fontId="81" fillId="59" borderId="170" applyNumberFormat="0" applyAlignment="0" applyProtection="0"/>
    <xf numFmtId="0" fontId="74" fillId="59" borderId="172" applyNumberFormat="0" applyAlignment="0" applyProtection="0"/>
    <xf numFmtId="0" fontId="11" fillId="62" borderId="171" applyNumberFormat="0" applyFont="0" applyAlignment="0" applyProtection="0"/>
    <xf numFmtId="0" fontId="71" fillId="46" borderId="170" applyNumberFormat="0" applyAlignment="0" applyProtection="0"/>
    <xf numFmtId="0" fontId="9" fillId="62" borderId="171" applyNumberFormat="0" applyFont="0" applyAlignment="0" applyProtection="0"/>
    <xf numFmtId="0" fontId="81" fillId="59" borderId="170" applyNumberFormat="0" applyAlignment="0" applyProtection="0"/>
    <xf numFmtId="0" fontId="87" fillId="46" borderId="170" applyNumberFormat="0" applyAlignment="0" applyProtection="0"/>
    <xf numFmtId="0" fontId="64" fillId="59" borderId="170" applyNumberFormat="0" applyAlignment="0" applyProtection="0"/>
    <xf numFmtId="0" fontId="12" fillId="0" borderId="174">
      <alignment horizontal="left" vertical="center"/>
    </xf>
    <xf numFmtId="0" fontId="87" fillId="46" borderId="170" applyNumberFormat="0" applyAlignment="0" applyProtection="0"/>
    <xf numFmtId="0" fontId="81" fillId="59" borderId="170" applyNumberFormat="0" applyAlignment="0" applyProtection="0"/>
    <xf numFmtId="0" fontId="81" fillId="59" borderId="170" applyNumberFormat="0" applyAlignment="0" applyProtection="0"/>
    <xf numFmtId="0" fontId="87" fillId="46" borderId="170" applyNumberFormat="0" applyAlignment="0" applyProtection="0"/>
    <xf numFmtId="0" fontId="81" fillId="59" borderId="170" applyNumberFormat="0" applyAlignment="0" applyProtection="0"/>
    <xf numFmtId="0" fontId="9" fillId="62" borderId="171" applyNumberFormat="0" applyFont="0" applyAlignment="0" applyProtection="0"/>
    <xf numFmtId="0" fontId="74" fillId="59" borderId="172" applyNumberFormat="0" applyAlignment="0" applyProtection="0"/>
    <xf numFmtId="0" fontId="81" fillId="59" borderId="170" applyNumberFormat="0" applyAlignment="0" applyProtection="0"/>
    <xf numFmtId="0" fontId="81" fillId="59" borderId="170" applyNumberFormat="0" applyAlignment="0" applyProtection="0"/>
    <xf numFmtId="0" fontId="87" fillId="46" borderId="196" applyNumberFormat="0" applyAlignment="0" applyProtection="0"/>
    <xf numFmtId="0" fontId="87" fillId="46" borderId="196"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7" fillId="46" borderId="170" applyNumberFormat="0" applyAlignment="0" applyProtection="0"/>
    <xf numFmtId="0" fontId="9" fillId="62" borderId="197" applyNumberFormat="0" applyFont="0" applyAlignment="0" applyProtection="0"/>
    <xf numFmtId="0" fontId="90" fillId="59" borderId="192" applyNumberFormat="0" applyAlignment="0" applyProtection="0"/>
    <xf numFmtId="10" fontId="60" fillId="0" borderId="0" applyFont="0" applyFill="0" applyBorder="0" applyAlignment="0" applyProtection="0"/>
    <xf numFmtId="0" fontId="81" fillId="59" borderId="196"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87" fillId="46" borderId="196" applyNumberFormat="0" applyAlignment="0" applyProtection="0"/>
    <xf numFmtId="0" fontId="9" fillId="62" borderId="203" applyNumberFormat="0" applyFont="0" applyAlignment="0" applyProtection="0"/>
    <xf numFmtId="0" fontId="11" fillId="62" borderId="171" applyNumberFormat="0" applyFont="0" applyAlignment="0" applyProtection="0"/>
    <xf numFmtId="0" fontId="90" fillId="59" borderId="198" applyNumberFormat="0" applyAlignment="0" applyProtection="0"/>
    <xf numFmtId="0" fontId="9" fillId="62" borderId="197" applyNumberFormat="0" applyFont="0" applyAlignment="0" applyProtection="0"/>
    <xf numFmtId="0" fontId="90" fillId="59" borderId="198" applyNumberFormat="0" applyAlignment="0" applyProtection="0"/>
    <xf numFmtId="0" fontId="12" fillId="0" borderId="200">
      <alignment horizontal="left" vertical="center"/>
    </xf>
    <xf numFmtId="0" fontId="81" fillId="59" borderId="170" applyNumberFormat="0" applyAlignment="0" applyProtection="0"/>
    <xf numFmtId="0" fontId="87" fillId="46" borderId="196" applyNumberFormat="0" applyAlignment="0" applyProtection="0"/>
    <xf numFmtId="0" fontId="64" fillId="59" borderId="170" applyNumberFormat="0" applyAlignment="0" applyProtection="0"/>
    <xf numFmtId="0" fontId="87" fillId="46" borderId="170" applyNumberFormat="0" applyAlignment="0" applyProtection="0"/>
    <xf numFmtId="0" fontId="71" fillId="46" borderId="170" applyNumberFormat="0" applyAlignment="0" applyProtection="0"/>
    <xf numFmtId="0" fontId="81" fillId="59" borderId="170" applyNumberFormat="0" applyAlignment="0" applyProtection="0"/>
    <xf numFmtId="0" fontId="11" fillId="62" borderId="171" applyNumberFormat="0" applyFont="0" applyAlignment="0" applyProtection="0"/>
    <xf numFmtId="0" fontId="74" fillId="59" borderId="172" applyNumberFormat="0" applyAlignment="0" applyProtection="0"/>
    <xf numFmtId="0" fontId="76" fillId="0" borderId="173" applyNumberFormat="0" applyFill="0" applyAlignment="0" applyProtection="0"/>
    <xf numFmtId="0" fontId="87" fillId="46" borderId="196" applyNumberFormat="0" applyAlignment="0" applyProtection="0"/>
    <xf numFmtId="0" fontId="9" fillId="62" borderId="171" applyNumberFormat="0" applyFont="0" applyAlignment="0" applyProtection="0"/>
    <xf numFmtId="0" fontId="81" fillId="59" borderId="170" applyNumberFormat="0" applyAlignment="0" applyProtection="0"/>
    <xf numFmtId="0" fontId="81" fillId="59" borderId="196" applyNumberFormat="0" applyAlignment="0" applyProtection="0"/>
    <xf numFmtId="0" fontId="90" fillId="59" borderId="198" applyNumberFormat="0" applyAlignment="0" applyProtection="0"/>
    <xf numFmtId="0" fontId="87" fillId="46" borderId="196" applyNumberFormat="0" applyAlignment="0" applyProtection="0"/>
    <xf numFmtId="0" fontId="9" fillId="62" borderId="171" applyNumberFormat="0" applyFont="0" applyAlignment="0" applyProtection="0"/>
    <xf numFmtId="0" fontId="85" fillId="0" borderId="178" applyNumberFormat="0" applyFill="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7" fillId="46" borderId="177" applyNumberFormat="0" applyAlignment="0" applyProtection="0"/>
    <xf numFmtId="0" fontId="64" fillId="59" borderId="170" applyNumberFormat="0" applyAlignment="0" applyProtection="0"/>
    <xf numFmtId="0" fontId="9" fillId="62" borderId="171" applyNumberFormat="0" applyFont="0" applyAlignment="0" applyProtection="0"/>
    <xf numFmtId="0" fontId="81" fillId="59" borderId="170" applyNumberFormat="0" applyAlignment="0" applyProtection="0"/>
    <xf numFmtId="0" fontId="81" fillId="59" borderId="170" applyNumberFormat="0" applyAlignment="0" applyProtection="0"/>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10" fontId="11" fillId="3" borderId="175" applyNumberFormat="0" applyBorder="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90" fillId="59" borderId="172" applyNumberFormat="0" applyAlignment="0" applyProtection="0"/>
    <xf numFmtId="0" fontId="11" fillId="62" borderId="171" applyNumberFormat="0" applyFont="0" applyAlignment="0" applyProtection="0"/>
    <xf numFmtId="0" fontId="81" fillId="59" borderId="170" applyNumberFormat="0" applyAlignment="0" applyProtection="0"/>
    <xf numFmtId="0" fontId="81" fillId="59" borderId="196" applyNumberFormat="0" applyAlignment="0" applyProtection="0"/>
    <xf numFmtId="0" fontId="81" fillId="59" borderId="196" applyNumberFormat="0" applyAlignment="0" applyProtection="0"/>
    <xf numFmtId="0" fontId="12" fillId="0" borderId="200">
      <alignment horizontal="left" vertical="center"/>
    </xf>
    <xf numFmtId="0" fontId="81" fillId="59" borderId="170" applyNumberForma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 fillId="62" borderId="203" applyNumberFormat="0" applyFont="0" applyAlignment="0" applyProtection="0"/>
    <xf numFmtId="0" fontId="90" fillId="59" borderId="204" applyNumberFormat="0" applyAlignment="0" applyProtection="0"/>
    <xf numFmtId="0" fontId="81" fillId="59" borderId="177" applyNumberFormat="0" applyAlignment="0" applyProtection="0"/>
    <xf numFmtId="0" fontId="87" fillId="46" borderId="196" applyNumberFormat="0" applyAlignment="0" applyProtection="0"/>
    <xf numFmtId="0" fontId="87" fillId="46" borderId="196" applyNumberFormat="0" applyAlignment="0" applyProtection="0"/>
    <xf numFmtId="0" fontId="81" fillId="59" borderId="170" applyNumberFormat="0" applyAlignment="0" applyProtection="0"/>
    <xf numFmtId="0" fontId="9" fillId="62" borderId="197" applyNumberFormat="0" applyFont="0" applyAlignment="0" applyProtection="0"/>
    <xf numFmtId="0" fontId="9" fillId="62" borderId="191" applyNumberFormat="0" applyFont="0" applyAlignment="0" applyProtection="0"/>
    <xf numFmtId="0" fontId="12" fillId="0" borderId="200">
      <alignment horizontal="left" vertical="center"/>
    </xf>
    <xf numFmtId="0" fontId="9" fillId="62" borderId="197" applyNumberFormat="0" applyFont="0" applyAlignment="0" applyProtection="0"/>
    <xf numFmtId="0" fontId="9" fillId="62" borderId="197" applyNumberFormat="0" applyFont="0" applyAlignment="0" applyProtection="0"/>
    <xf numFmtId="10" fontId="11" fillId="3" borderId="195" applyNumberFormat="0" applyBorder="0" applyAlignment="0" applyProtection="0"/>
    <xf numFmtId="0" fontId="87" fillId="46" borderId="202" applyNumberFormat="0" applyAlignment="0" applyProtection="0"/>
    <xf numFmtId="0" fontId="90" fillId="59" borderId="198" applyNumberFormat="0" applyAlignment="0" applyProtection="0"/>
    <xf numFmtId="0" fontId="9" fillId="62" borderId="197" applyNumberFormat="0" applyFont="0" applyAlignment="0" applyProtection="0"/>
    <xf numFmtId="0" fontId="90" fillId="59" borderId="198" applyNumberFormat="0" applyAlignment="0" applyProtection="0"/>
    <xf numFmtId="0" fontId="12" fillId="0" borderId="200">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10" fontId="11" fillId="3" borderId="175" applyNumberFormat="0" applyBorder="0" applyAlignment="0" applyProtection="0"/>
    <xf numFmtId="0" fontId="12" fillId="0" borderId="174">
      <alignment horizontal="left" vertical="center"/>
    </xf>
    <xf numFmtId="0" fontId="81" fillId="59" borderId="170" applyNumberFormat="0" applyAlignment="0" applyProtection="0"/>
    <xf numFmtId="0" fontId="81" fillId="59" borderId="170" applyNumberFormat="0" applyAlignment="0" applyProtection="0"/>
    <xf numFmtId="0" fontId="12" fillId="0" borderId="174">
      <alignment horizontal="left" vertical="center"/>
    </xf>
    <xf numFmtId="0" fontId="81" fillId="59" borderId="170" applyNumberFormat="0" applyAlignment="0" applyProtection="0"/>
    <xf numFmtId="0" fontId="90" fillId="59" borderId="172" applyNumberFormat="0" applyAlignment="0" applyProtection="0"/>
    <xf numFmtId="0" fontId="81" fillId="59" borderId="170" applyNumberFormat="0" applyAlignment="0" applyProtection="0"/>
    <xf numFmtId="0" fontId="87" fillId="46" borderId="170" applyNumberFormat="0" applyAlignment="0" applyProtection="0"/>
    <xf numFmtId="0" fontId="87" fillId="46" borderId="196" applyNumberFormat="0" applyAlignment="0" applyProtection="0"/>
    <xf numFmtId="0" fontId="87" fillId="46" borderId="170" applyNumberFormat="0" applyAlignment="0" applyProtection="0"/>
    <xf numFmtId="0" fontId="90" fillId="59" borderId="172" applyNumberFormat="0" applyAlignment="0" applyProtection="0"/>
    <xf numFmtId="0" fontId="74" fillId="59" borderId="172" applyNumberFormat="0" applyAlignment="0" applyProtection="0"/>
    <xf numFmtId="0" fontId="81" fillId="59" borderId="170" applyNumberFormat="0" applyAlignment="0" applyProtection="0"/>
    <xf numFmtId="0" fontId="12" fillId="0" borderId="174">
      <alignment horizontal="left" vertical="center"/>
    </xf>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7" fillId="46" borderId="170" applyNumberFormat="0" applyAlignment="0" applyProtection="0"/>
    <xf numFmtId="0" fontId="87" fillId="46" borderId="170" applyNumberFormat="0" applyAlignment="0" applyProtection="0"/>
    <xf numFmtId="0" fontId="9" fillId="62" borderId="171" applyNumberFormat="0" applyFon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7" fillId="46" borderId="196" applyNumberFormat="0" applyAlignment="0" applyProtection="0"/>
    <xf numFmtId="0" fontId="81" fillId="59" borderId="170" applyNumberFormat="0" applyAlignment="0" applyProtection="0"/>
    <xf numFmtId="0" fontId="64" fillId="59" borderId="170" applyNumberFormat="0" applyAlignment="0" applyProtection="0"/>
    <xf numFmtId="0" fontId="71" fillId="46" borderId="170" applyNumberFormat="0" applyAlignment="0" applyProtection="0"/>
    <xf numFmtId="0" fontId="11" fillId="62" borderId="171" applyNumberFormat="0" applyFont="0" applyAlignment="0" applyProtection="0"/>
    <xf numFmtId="0" fontId="74" fillId="59" borderId="172" applyNumberFormat="0" applyAlignment="0" applyProtection="0"/>
    <xf numFmtId="0" fontId="76" fillId="0" borderId="173" applyNumberFormat="0" applyFill="0" applyAlignment="0" applyProtection="0"/>
    <xf numFmtId="0" fontId="81" fillId="59" borderId="170" applyNumberFormat="0" applyAlignment="0" applyProtection="0"/>
    <xf numFmtId="0" fontId="90" fillId="59" borderId="198"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90" fillId="59" borderId="198" applyNumberFormat="0" applyAlignment="0" applyProtection="0"/>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10" fontId="11" fillId="3" borderId="175" applyNumberFormat="0" applyBorder="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12" fillId="0" borderId="174">
      <alignment horizontal="left" vertical="center"/>
    </xf>
    <xf numFmtId="0" fontId="12" fillId="0" borderId="174">
      <alignment horizontal="left" vertical="center"/>
    </xf>
    <xf numFmtId="0" fontId="71" fillId="46" borderId="170" applyNumberFormat="0" applyAlignment="0" applyProtection="0"/>
    <xf numFmtId="0" fontId="81" fillId="59" borderId="170" applyNumberForma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12" fillId="0" borderId="174">
      <alignment horizontal="left" vertical="center"/>
    </xf>
    <xf numFmtId="0" fontId="90" fillId="59" borderId="172" applyNumberFormat="0" applyAlignment="0" applyProtection="0"/>
    <xf numFmtId="0" fontId="81" fillId="59" borderId="170" applyNumberFormat="0" applyAlignment="0" applyProtection="0"/>
    <xf numFmtId="0" fontId="81" fillId="59" borderId="170" applyNumberFormat="0" applyAlignment="0" applyProtection="0"/>
    <xf numFmtId="0" fontId="76" fillId="0" borderId="173" applyNumberFormat="0" applyFill="0" applyAlignment="0" applyProtection="0"/>
    <xf numFmtId="0" fontId="90" fillId="59" borderId="172"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64" fillId="59" borderId="170" applyNumberFormat="0" applyAlignment="0" applyProtection="0"/>
    <xf numFmtId="0" fontId="81" fillId="59" borderId="170" applyNumberForma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81" fillId="59" borderId="170" applyNumberFormat="0" applyAlignment="0" applyProtection="0"/>
    <xf numFmtId="0" fontId="90" fillId="59" borderId="172" applyNumberFormat="0" applyAlignment="0" applyProtection="0"/>
    <xf numFmtId="0" fontId="12" fillId="0" borderId="174">
      <alignment horizontal="left" vertical="center"/>
    </xf>
    <xf numFmtId="0" fontId="90" fillId="59" borderId="172" applyNumberFormat="0" applyAlignment="0" applyProtection="0"/>
    <xf numFmtId="0" fontId="90" fillId="59" borderId="172"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76" fillId="0" borderId="173" applyNumberFormat="0" applyFill="0" applyAlignment="0" applyProtection="0"/>
    <xf numFmtId="0" fontId="71" fillId="46" borderId="170" applyNumberFormat="0" applyAlignment="0" applyProtection="0"/>
    <xf numFmtId="0" fontId="64" fillId="59" borderId="170" applyNumberForma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12" fillId="0" borderId="174">
      <alignment horizontal="left" vertical="center"/>
    </xf>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0" fillId="59" borderId="172" applyNumberForma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81" fillId="59" borderId="170" applyNumberFormat="0" applyAlignment="0" applyProtection="0"/>
    <xf numFmtId="0" fontId="90" fillId="59" borderId="172" applyNumberFormat="0" applyAlignment="0" applyProtection="0"/>
    <xf numFmtId="0" fontId="90" fillId="59" borderId="172" applyNumberFormat="0" applyAlignment="0" applyProtection="0"/>
    <xf numFmtId="0" fontId="81" fillId="59"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64"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87" fillId="46" borderId="170" applyNumberFormat="0" applyAlignment="0" applyProtection="0"/>
    <xf numFmtId="0" fontId="76" fillId="0" borderId="173" applyNumberFormat="0" applyFill="0" applyAlignment="0" applyProtection="0"/>
    <xf numFmtId="0" fontId="11" fillId="62" borderId="171" applyNumberFormat="0" applyFont="0" applyAlignment="0" applyProtection="0"/>
    <xf numFmtId="0" fontId="81" fillId="59" borderId="170" applyNumberFormat="0" applyAlignment="0" applyProtection="0"/>
    <xf numFmtId="0" fontId="76" fillId="0" borderId="173" applyNumberFormat="0" applyFill="0" applyAlignment="0" applyProtection="0"/>
    <xf numFmtId="0" fontId="74" fillId="59" borderId="172" applyNumberFormat="0" applyAlignment="0" applyProtection="0"/>
    <xf numFmtId="0" fontId="64" fillId="59" borderId="170" applyNumberFormat="0" applyAlignment="0" applyProtection="0"/>
    <xf numFmtId="0" fontId="71" fillId="46" borderId="170" applyNumberFormat="0" applyAlignment="0" applyProtection="0"/>
    <xf numFmtId="0" fontId="11" fillId="62" borderId="171" applyNumberFormat="0" applyFont="0" applyAlignment="0" applyProtection="0"/>
    <xf numFmtId="0" fontId="74" fillId="59" borderId="172" applyNumberFormat="0" applyAlignment="0" applyProtection="0"/>
    <xf numFmtId="0" fontId="76" fillId="0" borderId="173" applyNumberFormat="0" applyFill="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10" fontId="11" fillId="3" borderId="175" applyNumberFormat="0" applyBorder="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81" fillId="59" borderId="170" applyNumberFormat="0" applyAlignment="0" applyProtection="0"/>
    <xf numFmtId="0" fontId="71" fillId="46" borderId="170" applyNumberFormat="0" applyAlignment="0" applyProtection="0"/>
    <xf numFmtId="0" fontId="64" fillId="59" borderId="170" applyNumberFormat="0" applyAlignment="0" applyProtection="0"/>
    <xf numFmtId="0" fontId="71" fillId="46" borderId="170" applyNumberFormat="0" applyAlignment="0" applyProtection="0"/>
    <xf numFmtId="0" fontId="11" fillId="62" borderId="171" applyNumberFormat="0" applyFont="0" applyAlignment="0" applyProtection="0"/>
    <xf numFmtId="0" fontId="74" fillId="59" borderId="172" applyNumberFormat="0" applyAlignment="0" applyProtection="0"/>
    <xf numFmtId="0" fontId="76" fillId="0" borderId="173" applyNumberFormat="0" applyFill="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81" fillId="59" borderId="170" applyNumberFormat="0" applyAlignment="0" applyProtection="0"/>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10" fontId="11" fillId="3" borderId="175" applyNumberFormat="0" applyBorder="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87" fillId="46" borderId="170" applyNumberFormat="0" applyAlignment="0" applyProtection="0"/>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0" fontId="12" fillId="0" borderId="174">
      <alignment horizontal="left" vertical="center"/>
    </xf>
    <xf numFmtId="10" fontId="11" fillId="3" borderId="175" applyNumberFormat="0" applyBorder="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87" fillId="46" borderId="170" applyNumberForma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 fillId="62" borderId="171" applyNumberFormat="0" applyFon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90" fillId="59" borderId="172" applyNumberFormat="0" applyAlignment="0" applyProtection="0"/>
    <xf numFmtId="0" fontId="12" fillId="0" borderId="200">
      <alignment horizontal="left" vertical="center"/>
    </xf>
    <xf numFmtId="10" fontId="11" fillId="3" borderId="201" applyNumberFormat="0" applyBorder="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90" fillId="59" borderId="198" applyNumberFormat="0" applyAlignment="0" applyProtection="0"/>
    <xf numFmtId="0" fontId="90" fillId="59" borderId="198"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90" fillId="59" borderId="198" applyNumberFormat="0" applyAlignment="0" applyProtection="0"/>
    <xf numFmtId="0" fontId="87" fillId="46" borderId="196" applyNumberFormat="0" applyAlignment="0" applyProtection="0"/>
    <xf numFmtId="0" fontId="87" fillId="46" borderId="196" applyNumberFormat="0" applyAlignment="0" applyProtection="0"/>
    <xf numFmtId="0" fontId="11" fillId="62" borderId="166" applyNumberFormat="0" applyFont="0" applyAlignment="0" applyProtection="0"/>
    <xf numFmtId="0" fontId="76" fillId="0" borderId="193" applyNumberFormat="0" applyFill="0" applyAlignment="0" applyProtection="0"/>
    <xf numFmtId="0" fontId="81" fillId="59" borderId="189" applyNumberFormat="0" applyAlignment="0" applyProtection="0"/>
    <xf numFmtId="0" fontId="81" fillId="59" borderId="189" applyNumberFormat="0" applyAlignment="0" applyProtection="0"/>
    <xf numFmtId="0" fontId="87" fillId="46" borderId="189" applyNumberFormat="0" applyAlignment="0" applyProtection="0"/>
    <xf numFmtId="0" fontId="90" fillId="59" borderId="192" applyNumberFormat="0" applyAlignment="0" applyProtection="0"/>
    <xf numFmtId="0" fontId="90" fillId="59" borderId="192" applyNumberFormat="0" applyAlignment="0" applyProtection="0"/>
    <xf numFmtId="0" fontId="76" fillId="0" borderId="199" applyNumberFormat="0" applyFill="0" applyAlignment="0" applyProtection="0"/>
    <xf numFmtId="0" fontId="81" fillId="59" borderId="196" applyNumberFormat="0" applyAlignment="0" applyProtection="0"/>
    <xf numFmtId="0" fontId="81" fillId="59" borderId="196" applyNumberFormat="0" applyAlignment="0" applyProtection="0"/>
    <xf numFmtId="0" fontId="85" fillId="0" borderId="178" applyNumberFormat="0" applyFill="0" applyAlignment="0" applyProtection="0"/>
    <xf numFmtId="0" fontId="85" fillId="0" borderId="178" applyNumberFormat="0" applyFill="0" applyAlignment="0" applyProtection="0"/>
    <xf numFmtId="0" fontId="85" fillId="0" borderId="178" applyNumberFormat="0" applyFill="0" applyAlignment="0" applyProtection="0"/>
    <xf numFmtId="0" fontId="85" fillId="0" borderId="178" applyNumberFormat="0" applyFill="0" applyAlignment="0" applyProtection="0"/>
    <xf numFmtId="0" fontId="85" fillId="0" borderId="178" applyNumberFormat="0" applyFill="0" applyAlignment="0" applyProtection="0"/>
    <xf numFmtId="0" fontId="85" fillId="0" borderId="178" applyNumberFormat="0" applyFill="0" applyAlignment="0" applyProtection="0"/>
    <xf numFmtId="0" fontId="12" fillId="0" borderId="200">
      <alignment horizontal="left" vertical="center"/>
    </xf>
    <xf numFmtId="0" fontId="90" fillId="59" borderId="192" applyNumberForma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12" fillId="0" borderId="200">
      <alignment horizontal="left" vertical="center"/>
    </xf>
    <xf numFmtId="0" fontId="9" fillId="62" borderId="197" applyNumberFormat="0" applyFont="0" applyAlignment="0" applyProtection="0"/>
    <xf numFmtId="0" fontId="64" fillId="59" borderId="196" applyNumberFormat="0" applyAlignment="0" applyProtection="0"/>
    <xf numFmtId="0" fontId="87" fillId="46" borderId="196" applyNumberFormat="0" applyAlignment="0" applyProtection="0"/>
    <xf numFmtId="0" fontId="87" fillId="46" borderId="196" applyNumberFormat="0" applyAlignment="0" applyProtection="0"/>
    <xf numFmtId="0" fontId="90" fillId="59" borderId="198"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87" fillId="46" borderId="196" applyNumberFormat="0" applyAlignment="0" applyProtection="0"/>
    <xf numFmtId="0" fontId="87" fillId="46" borderId="196" applyNumberFormat="0" applyAlignment="0" applyProtection="0"/>
    <xf numFmtId="0" fontId="90" fillId="59" borderId="198" applyNumberFormat="0" applyAlignment="0" applyProtection="0"/>
    <xf numFmtId="0" fontId="90" fillId="59" borderId="198" applyNumberFormat="0" applyAlignment="0" applyProtection="0"/>
    <xf numFmtId="0" fontId="9" fillId="62" borderId="197" applyNumberFormat="0" applyFont="0" applyAlignment="0" applyProtection="0"/>
    <xf numFmtId="0" fontId="87" fillId="46" borderId="196" applyNumberFormat="0" applyAlignment="0" applyProtection="0"/>
    <xf numFmtId="0" fontId="81" fillId="59" borderId="196" applyNumberFormat="0" applyAlignment="0" applyProtection="0"/>
    <xf numFmtId="0" fontId="90" fillId="59" borderId="198" applyNumberFormat="0" applyAlignment="0" applyProtection="0"/>
    <xf numFmtId="0" fontId="9" fillId="62" borderId="197" applyNumberFormat="0" applyFont="0" applyAlignment="0" applyProtection="0"/>
    <xf numFmtId="0" fontId="12" fillId="0" borderId="200">
      <alignment horizontal="left" vertical="center"/>
    </xf>
    <xf numFmtId="0" fontId="87" fillId="46" borderId="196" applyNumberFormat="0" applyAlignment="0" applyProtection="0"/>
    <xf numFmtId="0" fontId="12" fillId="0" borderId="200">
      <alignment horizontal="left" vertical="center"/>
    </xf>
    <xf numFmtId="0" fontId="90" fillId="59" borderId="198" applyNumberFormat="0" applyAlignment="0" applyProtection="0"/>
    <xf numFmtId="0" fontId="12" fillId="0" borderId="206">
      <alignment horizontal="left" vertical="center"/>
    </xf>
    <xf numFmtId="0" fontId="81" fillId="59" borderId="196" applyNumberFormat="0" applyAlignment="0" applyProtection="0"/>
    <xf numFmtId="0" fontId="71" fillId="46" borderId="196" applyNumberFormat="0" applyAlignment="0" applyProtection="0"/>
    <xf numFmtId="0" fontId="87" fillId="46" borderId="189" applyNumberFormat="0" applyAlignment="0" applyProtection="0"/>
    <xf numFmtId="0" fontId="87" fillId="46" borderId="189" applyNumberFormat="0" applyAlignment="0" applyProtection="0"/>
    <xf numFmtId="0" fontId="12" fillId="0" borderId="200">
      <alignment horizontal="left" vertical="center"/>
    </xf>
    <xf numFmtId="0" fontId="9" fillId="62" borderId="197" applyNumberFormat="0" applyFont="0" applyAlignment="0" applyProtection="0"/>
    <xf numFmtId="0" fontId="90" fillId="59" borderId="198" applyNumberFormat="0" applyAlignment="0" applyProtection="0"/>
    <xf numFmtId="0" fontId="90" fillId="59" borderId="192" applyNumberFormat="0" applyAlignment="0" applyProtection="0"/>
    <xf numFmtId="0" fontId="87" fillId="46" borderId="196" applyNumberFormat="0" applyAlignment="0" applyProtection="0"/>
    <xf numFmtId="0" fontId="9" fillId="62" borderId="191" applyNumberFormat="0" applyFont="0" applyAlignment="0" applyProtection="0"/>
    <xf numFmtId="0" fontId="85" fillId="0" borderId="178" applyNumberFormat="0" applyFill="0" applyAlignment="0" applyProtection="0"/>
    <xf numFmtId="0" fontId="9" fillId="62" borderId="197" applyNumberFormat="0" applyFont="0" applyAlignment="0" applyProtection="0"/>
    <xf numFmtId="0" fontId="12" fillId="0" borderId="200">
      <alignment horizontal="left" vertical="center"/>
    </xf>
    <xf numFmtId="0" fontId="87" fillId="46" borderId="196" applyNumberFormat="0" applyAlignment="0" applyProtection="0"/>
    <xf numFmtId="0" fontId="9" fillId="62" borderId="191" applyNumberFormat="0" applyFont="0" applyAlignment="0" applyProtection="0"/>
    <xf numFmtId="0" fontId="64" fillId="59" borderId="189" applyNumberFormat="0" applyAlignment="0" applyProtection="0"/>
    <xf numFmtId="0" fontId="12" fillId="0" borderId="200">
      <alignment horizontal="left" vertical="center"/>
    </xf>
    <xf numFmtId="0" fontId="9" fillId="62" borderId="197" applyNumberFormat="0" applyFont="0" applyAlignment="0" applyProtection="0"/>
    <xf numFmtId="0" fontId="76" fillId="0" borderId="199" applyNumberFormat="0" applyFill="0" applyAlignment="0" applyProtection="0"/>
    <xf numFmtId="0" fontId="87" fillId="46" borderId="196" applyNumberFormat="0" applyAlignment="0" applyProtection="0"/>
    <xf numFmtId="0" fontId="81" fillId="59" borderId="196" applyNumberFormat="0" applyAlignment="0" applyProtection="0"/>
    <xf numFmtId="0" fontId="12" fillId="0" borderId="200">
      <alignment horizontal="left" vertical="center"/>
    </xf>
    <xf numFmtId="0" fontId="87" fillId="46" borderId="196" applyNumberFormat="0" applyAlignment="0" applyProtection="0"/>
    <xf numFmtId="0" fontId="87" fillId="46" borderId="196" applyNumberFormat="0" applyAlignment="0" applyProtection="0"/>
    <xf numFmtId="0" fontId="64" fillId="59" borderId="196" applyNumberFormat="0" applyAlignment="0" applyProtection="0"/>
    <xf numFmtId="0" fontId="9" fillId="62" borderId="197" applyNumberFormat="0" applyFont="0" applyAlignment="0" applyProtection="0"/>
    <xf numFmtId="0" fontId="87" fillId="46" borderId="196" applyNumberFormat="0" applyAlignment="0" applyProtection="0"/>
    <xf numFmtId="0" fontId="90" fillId="59" borderId="198" applyNumberFormat="0" applyAlignment="0" applyProtection="0"/>
    <xf numFmtId="0" fontId="90" fillId="59" borderId="198" applyNumberFormat="0" applyAlignment="0" applyProtection="0"/>
    <xf numFmtId="0" fontId="87" fillId="46" borderId="196" applyNumberFormat="0" applyAlignment="0" applyProtection="0"/>
    <xf numFmtId="0" fontId="87" fillId="46" borderId="196" applyNumberFormat="0" applyAlignment="0" applyProtection="0"/>
    <xf numFmtId="0" fontId="81" fillId="59" borderId="196" applyNumberFormat="0" applyAlignment="0" applyProtection="0"/>
    <xf numFmtId="0" fontId="90" fillId="59" borderId="198" applyNumberFormat="0" applyAlignment="0" applyProtection="0"/>
    <xf numFmtId="0" fontId="9" fillId="62" borderId="197" applyNumberFormat="0" applyFont="0" applyAlignment="0" applyProtection="0"/>
    <xf numFmtId="0" fontId="87" fillId="46" borderId="196" applyNumberFormat="0" applyAlignment="0" applyProtection="0"/>
    <xf numFmtId="0" fontId="90" fillId="59" borderId="198"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87" fillId="46" borderId="196" applyNumberFormat="0" applyAlignment="0" applyProtection="0"/>
    <xf numFmtId="0" fontId="85" fillId="0" borderId="190" applyNumberFormat="0" applyFill="0" applyAlignment="0" applyProtection="0"/>
    <xf numFmtId="0" fontId="9" fillId="62" borderId="197" applyNumberFormat="0" applyFont="0" applyAlignment="0" applyProtection="0"/>
    <xf numFmtId="0" fontId="9" fillId="62" borderId="197" applyNumberFormat="0" applyFont="0" applyAlignment="0" applyProtection="0"/>
    <xf numFmtId="0" fontId="90" fillId="59" borderId="198" applyNumberFormat="0" applyAlignment="0" applyProtection="0"/>
    <xf numFmtId="0" fontId="87" fillId="46" borderId="196" applyNumberFormat="0" applyAlignment="0" applyProtection="0"/>
    <xf numFmtId="0" fontId="9" fillId="62" borderId="197" applyNumberFormat="0" applyFont="0" applyAlignment="0" applyProtection="0"/>
    <xf numFmtId="0" fontId="81" fillId="59" borderId="196" applyNumberFormat="0" applyAlignment="0" applyProtection="0"/>
    <xf numFmtId="0" fontId="74" fillId="59" borderId="198"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90" fillId="59" borderId="198" applyNumberFormat="0" applyAlignment="0" applyProtection="0"/>
    <xf numFmtId="0" fontId="81" fillId="59" borderId="196" applyNumberFormat="0" applyAlignment="0" applyProtection="0"/>
    <xf numFmtId="0" fontId="81" fillId="59" borderId="196" applyNumberFormat="0" applyAlignment="0" applyProtection="0"/>
    <xf numFmtId="0" fontId="9" fillId="62" borderId="197" applyNumberFormat="0" applyFont="0" applyAlignment="0" applyProtection="0"/>
    <xf numFmtId="0" fontId="90" fillId="59" borderId="198" applyNumberFormat="0" applyAlignment="0" applyProtection="0"/>
    <xf numFmtId="0" fontId="90" fillId="59" borderId="198"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87" fillId="46" borderId="189" applyNumberFormat="0" applyAlignment="0" applyProtection="0"/>
    <xf numFmtId="0" fontId="81" fillId="59" borderId="196" applyNumberFormat="0" applyAlignment="0" applyProtection="0"/>
    <xf numFmtId="0" fontId="74" fillId="59" borderId="198"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90" fillId="59" borderId="192" applyNumberFormat="0" applyAlignment="0" applyProtection="0"/>
    <xf numFmtId="0" fontId="90" fillId="59" borderId="192" applyNumberFormat="0" applyAlignment="0" applyProtection="0"/>
    <xf numFmtId="0" fontId="87" fillId="46" borderId="189" applyNumberFormat="0" applyAlignment="0" applyProtection="0"/>
    <xf numFmtId="0" fontId="87" fillId="46" borderId="189" applyNumberFormat="0" applyAlignment="0" applyProtection="0"/>
    <xf numFmtId="0" fontId="81" fillId="59" borderId="189" applyNumberFormat="0" applyAlignment="0" applyProtection="0"/>
    <xf numFmtId="0" fontId="81" fillId="59" borderId="189" applyNumberFormat="0" applyAlignment="0" applyProtection="0"/>
    <xf numFmtId="0" fontId="90" fillId="59" borderId="192" applyNumberFormat="0" applyAlignment="0" applyProtection="0"/>
    <xf numFmtId="0" fontId="90" fillId="59" borderId="192" applyNumberFormat="0" applyAlignment="0" applyProtection="0"/>
    <xf numFmtId="0" fontId="90" fillId="59" borderId="192" applyNumberFormat="0" applyAlignment="0" applyProtection="0"/>
    <xf numFmtId="0" fontId="90" fillId="59" borderId="192" applyNumberFormat="0" applyAlignment="0" applyProtection="0"/>
    <xf numFmtId="0" fontId="90" fillId="59" borderId="192" applyNumberFormat="0" applyAlignment="0" applyProtection="0"/>
    <xf numFmtId="0" fontId="9" fillId="62" borderId="191" applyNumberFormat="0" applyFont="0" applyAlignment="0" applyProtection="0"/>
    <xf numFmtId="0" fontId="9" fillId="62" borderId="191" applyNumberFormat="0" applyFont="0" applyAlignment="0" applyProtection="0"/>
    <xf numFmtId="0" fontId="12" fillId="0" borderId="200">
      <alignment horizontal="left" vertical="center"/>
    </xf>
    <xf numFmtId="0" fontId="90" fillId="59" borderId="192" applyNumberFormat="0" applyAlignment="0" applyProtection="0"/>
    <xf numFmtId="0" fontId="9" fillId="62" borderId="197" applyNumberFormat="0" applyFont="0" applyAlignment="0" applyProtection="0"/>
    <xf numFmtId="0" fontId="81" fillId="59" borderId="196" applyNumberFormat="0" applyAlignment="0" applyProtection="0"/>
    <xf numFmtId="0" fontId="9" fillId="62" borderId="191" applyNumberFormat="0" applyFont="0" applyAlignment="0" applyProtection="0"/>
    <xf numFmtId="0" fontId="87" fillId="46" borderId="196" applyNumberFormat="0" applyAlignment="0" applyProtection="0"/>
    <xf numFmtId="0" fontId="85" fillId="0" borderId="178" applyNumberFormat="0" applyFill="0" applyAlignment="0" applyProtection="0"/>
    <xf numFmtId="0" fontId="87" fillId="46" borderId="196" applyNumberFormat="0" applyAlignment="0" applyProtection="0"/>
    <xf numFmtId="0" fontId="9" fillId="62" borderId="191" applyNumberFormat="0" applyFont="0" applyAlignment="0" applyProtection="0"/>
    <xf numFmtId="0" fontId="9" fillId="62" borderId="197" applyNumberFormat="0" applyFont="0" applyAlignment="0" applyProtection="0"/>
    <xf numFmtId="0" fontId="87" fillId="46" borderId="189" applyNumberFormat="0" applyAlignment="0" applyProtection="0"/>
    <xf numFmtId="0" fontId="90" fillId="59" borderId="198" applyNumberFormat="0" applyAlignment="0" applyProtection="0"/>
    <xf numFmtId="0" fontId="9" fillId="62" borderId="197" applyNumberFormat="0" applyFont="0" applyAlignment="0" applyProtection="0"/>
    <xf numFmtId="0" fontId="87" fillId="46" borderId="196" applyNumberFormat="0" applyAlignment="0" applyProtection="0"/>
    <xf numFmtId="0" fontId="12" fillId="0" borderId="200">
      <alignment horizontal="left" vertical="center"/>
    </xf>
    <xf numFmtId="0" fontId="81" fillId="59" borderId="189" applyNumberFormat="0" applyAlignment="0" applyProtection="0"/>
    <xf numFmtId="0" fontId="87" fillId="46" borderId="196" applyNumberFormat="0" applyAlignment="0" applyProtection="0"/>
    <xf numFmtId="0" fontId="90" fillId="59" borderId="198" applyNumberFormat="0" applyAlignment="0" applyProtection="0"/>
    <xf numFmtId="0" fontId="90" fillId="59" borderId="198" applyNumberFormat="0" applyAlignment="0" applyProtection="0"/>
    <xf numFmtId="0" fontId="9" fillId="62" borderId="197" applyNumberFormat="0" applyFon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81" fillId="59" borderId="196" applyNumberFormat="0" applyAlignment="0" applyProtection="0"/>
    <xf numFmtId="0" fontId="81" fillId="59" borderId="196" applyNumberFormat="0" applyAlignment="0" applyProtection="0"/>
    <xf numFmtId="0" fontId="9" fillId="62" borderId="197" applyNumberFormat="0" applyFont="0" applyAlignment="0" applyProtection="0"/>
    <xf numFmtId="0" fontId="87" fillId="46" borderId="196"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87" fillId="46" borderId="214" applyNumberFormat="0" applyAlignment="0" applyProtection="0"/>
    <xf numFmtId="0" fontId="90" fillId="59" borderId="198" applyNumberFormat="0" applyAlignment="0" applyProtection="0"/>
    <xf numFmtId="0" fontId="81" fillId="59" borderId="208" applyNumberFormat="0" applyAlignment="0" applyProtection="0"/>
    <xf numFmtId="0" fontId="81" fillId="59" borderId="214" applyNumberFormat="0" applyAlignment="0" applyProtection="0"/>
    <xf numFmtId="0" fontId="87" fillId="46" borderId="214" applyNumberFormat="0" applyAlignment="0" applyProtection="0"/>
    <xf numFmtId="0" fontId="71" fillId="46" borderId="196" applyNumberFormat="0" applyAlignment="0" applyProtection="0"/>
    <xf numFmtId="0" fontId="85" fillId="0" borderId="178" applyNumberFormat="0" applyFill="0" applyAlignment="0" applyProtection="0"/>
    <xf numFmtId="0" fontId="74" fillId="59" borderId="180" applyNumberFormat="0" applyAlignment="0" applyProtection="0"/>
    <xf numFmtId="0" fontId="11" fillId="62" borderId="179" applyNumberFormat="0" applyFont="0" applyAlignment="0" applyProtection="0"/>
    <xf numFmtId="0" fontId="71" fillId="46" borderId="177" applyNumberFormat="0" applyAlignment="0" applyProtection="0"/>
    <xf numFmtId="0" fontId="9" fillId="62" borderId="197" applyNumberFormat="0" applyFont="0" applyAlignment="0" applyProtection="0"/>
    <xf numFmtId="0" fontId="85" fillId="0" borderId="178" applyNumberFormat="0" applyFill="0" applyAlignment="0" applyProtection="0"/>
    <xf numFmtId="0" fontId="9" fillId="62" borderId="191" applyNumberFormat="0" applyFont="0" applyAlignment="0" applyProtection="0"/>
    <xf numFmtId="0" fontId="64" fillId="59" borderId="177" applyNumberFormat="0" applyAlignment="0" applyProtection="0"/>
    <xf numFmtId="0" fontId="81" fillId="59" borderId="196" applyNumberFormat="0" applyAlignment="0" applyProtection="0"/>
    <xf numFmtId="0" fontId="74" fillId="59" borderId="192" applyNumberFormat="0" applyAlignment="0" applyProtection="0"/>
    <xf numFmtId="0" fontId="70" fillId="0" borderId="178" applyNumberFormat="0" applyFill="0" applyAlignment="0" applyProtection="0"/>
    <xf numFmtId="0" fontId="9" fillId="62" borderId="197" applyNumberFormat="0" applyFont="0" applyAlignment="0" applyProtection="0"/>
    <xf numFmtId="0" fontId="12" fillId="0" borderId="200">
      <alignment horizontal="left" vertical="center"/>
    </xf>
    <xf numFmtId="0" fontId="76" fillId="0" borderId="199" applyNumberFormat="0" applyFill="0" applyAlignment="0" applyProtection="0"/>
    <xf numFmtId="0" fontId="87" fillId="46" borderId="196" applyNumberFormat="0" applyAlignment="0" applyProtection="0"/>
    <xf numFmtId="0" fontId="90" fillId="59" borderId="198" applyNumberFormat="0" applyAlignment="0" applyProtection="0"/>
    <xf numFmtId="0" fontId="12" fillId="0" borderId="206">
      <alignment horizontal="left" vertical="center"/>
    </xf>
    <xf numFmtId="0" fontId="85" fillId="0" borderId="190" applyNumberFormat="0" applyFill="0" applyAlignment="0" applyProtection="0"/>
    <xf numFmtId="0" fontId="85" fillId="0" borderId="190" applyNumberFormat="0" applyFill="0" applyAlignment="0" applyProtection="0"/>
    <xf numFmtId="0" fontId="87" fillId="46" borderId="196" applyNumberFormat="0" applyAlignment="0" applyProtection="0"/>
    <xf numFmtId="0" fontId="87" fillId="46" borderId="196" applyNumberFormat="0" applyAlignment="0" applyProtection="0"/>
    <xf numFmtId="0" fontId="90" fillId="59" borderId="198" applyNumberFormat="0" applyAlignment="0" applyProtection="0"/>
    <xf numFmtId="0" fontId="81" fillId="59" borderId="189" applyNumberFormat="0" applyAlignment="0" applyProtection="0"/>
    <xf numFmtId="0" fontId="71" fillId="46" borderId="196" applyNumberFormat="0" applyAlignment="0" applyProtection="0"/>
    <xf numFmtId="0" fontId="81" fillId="59" borderId="214" applyNumberFormat="0" applyAlignment="0" applyProtection="0"/>
    <xf numFmtId="0" fontId="9" fillId="62" borderId="197" applyNumberFormat="0" applyFont="0" applyAlignment="0" applyProtection="0"/>
    <xf numFmtId="0" fontId="87" fillId="46" borderId="208" applyNumberFormat="0" applyAlignment="0" applyProtection="0"/>
    <xf numFmtId="0" fontId="71" fillId="46" borderId="196" applyNumberFormat="0" applyAlignment="0" applyProtection="0"/>
    <xf numFmtId="0" fontId="81" fillId="59" borderId="196" applyNumberFormat="0" applyAlignment="0" applyProtection="0"/>
    <xf numFmtId="0" fontId="12" fillId="0" borderId="194">
      <alignment horizontal="left" vertical="center"/>
    </xf>
    <xf numFmtId="0" fontId="12" fillId="0" borderId="200">
      <alignment horizontal="left" vertical="center"/>
    </xf>
    <xf numFmtId="0" fontId="87" fillId="46" borderId="196" applyNumberFormat="0" applyAlignment="0" applyProtection="0"/>
    <xf numFmtId="0" fontId="12" fillId="0" borderId="200">
      <alignment horizontal="left" vertical="center"/>
    </xf>
    <xf numFmtId="0" fontId="9" fillId="62" borderId="191" applyNumberFormat="0" applyFont="0" applyAlignment="0" applyProtection="0"/>
    <xf numFmtId="0" fontId="9" fillId="62" borderId="197" applyNumberFormat="0" applyFont="0" applyAlignment="0" applyProtection="0"/>
    <xf numFmtId="0" fontId="87" fillId="46" borderId="196" applyNumberFormat="0" applyAlignment="0" applyProtection="0"/>
    <xf numFmtId="0" fontId="90" fillId="59" borderId="198" applyNumberFormat="0" applyAlignment="0" applyProtection="0"/>
    <xf numFmtId="0" fontId="87" fillId="46" borderId="196" applyNumberFormat="0" applyAlignment="0" applyProtection="0"/>
    <xf numFmtId="0" fontId="81" fillId="59" borderId="196" applyNumberFormat="0" applyAlignment="0" applyProtection="0"/>
    <xf numFmtId="0" fontId="90" fillId="59" borderId="198" applyNumberFormat="0" applyAlignment="0" applyProtection="0"/>
    <xf numFmtId="0" fontId="9" fillId="62" borderId="197" applyNumberFormat="0" applyFont="0" applyAlignment="0" applyProtection="0"/>
    <xf numFmtId="0" fontId="76" fillId="0" borderId="199" applyNumberFormat="0" applyFill="0" applyAlignment="0" applyProtection="0"/>
    <xf numFmtId="0" fontId="87" fillId="46" borderId="196" applyNumberFormat="0" applyAlignment="0" applyProtection="0"/>
    <xf numFmtId="0" fontId="90" fillId="59" borderId="198" applyNumberFormat="0" applyAlignment="0" applyProtection="0"/>
    <xf numFmtId="0" fontId="90" fillId="59" borderId="198"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81" fillId="59" borderId="196" applyNumberFormat="0" applyAlignment="0" applyProtection="0"/>
    <xf numFmtId="0" fontId="90" fillId="59" borderId="198" applyNumberFormat="0" applyAlignment="0" applyProtection="0"/>
    <xf numFmtId="0" fontId="90" fillId="59" borderId="198" applyNumberFormat="0" applyAlignment="0" applyProtection="0"/>
    <xf numFmtId="0" fontId="9" fillId="62" borderId="197" applyNumberFormat="0" applyFont="0" applyAlignment="0" applyProtection="0"/>
    <xf numFmtId="0" fontId="87" fillId="46" borderId="196" applyNumberFormat="0" applyAlignment="0" applyProtection="0"/>
    <xf numFmtId="0" fontId="87" fillId="46" borderId="196" applyNumberFormat="0" applyAlignment="0" applyProtection="0"/>
    <xf numFmtId="0" fontId="12" fillId="0" borderId="200">
      <alignment horizontal="left" vertical="center"/>
    </xf>
    <xf numFmtId="0" fontId="81" fillId="59" borderId="196" applyNumberFormat="0" applyAlignment="0" applyProtection="0"/>
    <xf numFmtId="0" fontId="9" fillId="62" borderId="197" applyNumberFormat="0" applyFont="0" applyAlignment="0" applyProtection="0"/>
    <xf numFmtId="0" fontId="87" fillId="46" borderId="196" applyNumberFormat="0" applyAlignment="0" applyProtection="0"/>
    <xf numFmtId="0" fontId="9" fillId="62" borderId="197" applyNumberFormat="0" applyFont="0" applyAlignment="0" applyProtection="0"/>
    <xf numFmtId="0" fontId="87" fillId="46" borderId="196" applyNumberFormat="0" applyAlignment="0" applyProtection="0"/>
    <xf numFmtId="0" fontId="81" fillId="59" borderId="196" applyNumberFormat="0" applyAlignment="0" applyProtection="0"/>
    <xf numFmtId="0" fontId="85" fillId="0" borderId="190" applyNumberFormat="0" applyFill="0" applyAlignment="0" applyProtection="0"/>
    <xf numFmtId="0" fontId="90" fillId="59" borderId="198" applyNumberFormat="0" applyAlignment="0" applyProtection="0"/>
    <xf numFmtId="0" fontId="9" fillId="62" borderId="197" applyNumberFormat="0" applyFont="0" applyAlignment="0" applyProtection="0"/>
    <xf numFmtId="0" fontId="12" fillId="0" borderId="200">
      <alignment horizontal="left" vertical="center"/>
    </xf>
    <xf numFmtId="0" fontId="87" fillId="46"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202" applyNumberFormat="0" applyAlignment="0" applyProtection="0"/>
    <xf numFmtId="0" fontId="90" fillId="59" borderId="198" applyNumberFormat="0" applyAlignment="0" applyProtection="0"/>
    <xf numFmtId="0" fontId="74" fillId="59" borderId="204" applyNumberFormat="0" applyAlignment="0" applyProtection="0"/>
    <xf numFmtId="0" fontId="12" fillId="0" borderId="200">
      <alignment horizontal="left" vertical="center"/>
    </xf>
    <xf numFmtId="0" fontId="81" fillId="59" borderId="196" applyNumberFormat="0" applyAlignment="0" applyProtection="0"/>
    <xf numFmtId="0" fontId="81" fillId="59" borderId="196" applyNumberFormat="0" applyAlignment="0" applyProtection="0"/>
    <xf numFmtId="0" fontId="87" fillId="46" borderId="196" applyNumberFormat="0" applyAlignment="0" applyProtection="0"/>
    <xf numFmtId="0" fontId="64" fillId="59" borderId="196" applyNumberFormat="0" applyAlignment="0" applyProtection="0"/>
    <xf numFmtId="0" fontId="90" fillId="59" borderId="192" applyNumberFormat="0" applyAlignment="0" applyProtection="0"/>
    <xf numFmtId="0" fontId="9" fillId="62" borderId="191" applyNumberFormat="0" applyFont="0" applyAlignment="0" applyProtection="0"/>
    <xf numFmtId="0" fontId="87" fillId="46" borderId="189" applyNumberFormat="0" applyAlignment="0" applyProtection="0"/>
    <xf numFmtId="0" fontId="12" fillId="0" borderId="194">
      <alignment horizontal="left" vertical="center"/>
    </xf>
    <xf numFmtId="0" fontId="81" fillId="59" borderId="189" applyNumberFormat="0" applyAlignment="0" applyProtection="0"/>
    <xf numFmtId="0" fontId="71" fillId="46" borderId="189" applyNumberFormat="0" applyAlignment="0" applyProtection="0"/>
    <xf numFmtId="0" fontId="9" fillId="62" borderId="197" applyNumberFormat="0" applyFont="0" applyAlignment="0" applyProtection="0"/>
    <xf numFmtId="0" fontId="87" fillId="46" borderId="189" applyNumberFormat="0" applyAlignment="0" applyProtection="0"/>
    <xf numFmtId="0" fontId="9" fillId="62" borderId="197" applyNumberFormat="0" applyFont="0" applyAlignment="0" applyProtection="0"/>
    <xf numFmtId="0" fontId="81" fillId="59" borderId="189" applyNumberFormat="0" applyAlignment="0" applyProtection="0"/>
    <xf numFmtId="0" fontId="76" fillId="0" borderId="211" applyNumberFormat="0" applyFill="0" applyAlignment="0" applyProtection="0"/>
    <xf numFmtId="0" fontId="81" fillId="59" borderId="208" applyNumberFormat="0" applyAlignment="0" applyProtection="0"/>
    <xf numFmtId="0" fontId="81" fillId="59" borderId="208" applyNumberFormat="0" applyAlignment="0" applyProtection="0"/>
    <xf numFmtId="0" fontId="64" fillId="59" borderId="208" applyNumberFormat="0" applyAlignment="0" applyProtection="0"/>
    <xf numFmtId="0" fontId="85" fillId="0" borderId="190" applyNumberFormat="0" applyFill="0" applyAlignment="0" applyProtection="0"/>
    <xf numFmtId="0" fontId="85" fillId="0" borderId="190" applyNumberFormat="0" applyFill="0" applyAlignment="0" applyProtection="0"/>
    <xf numFmtId="0" fontId="90" fillId="59" borderId="198" applyNumberFormat="0" applyAlignment="0" applyProtection="0"/>
    <xf numFmtId="0" fontId="76" fillId="0" borderId="199" applyNumberFormat="0" applyFill="0" applyAlignment="0" applyProtection="0"/>
    <xf numFmtId="0" fontId="12" fillId="0" borderId="218">
      <alignment horizontal="left" vertical="center"/>
    </xf>
    <xf numFmtId="0" fontId="9" fillId="62" borderId="197" applyNumberFormat="0" applyFont="0" applyAlignment="0" applyProtection="0"/>
    <xf numFmtId="0" fontId="11" fillId="62" borderId="209" applyNumberFormat="0" applyFont="0" applyAlignment="0" applyProtection="0"/>
    <xf numFmtId="0" fontId="81" fillId="59" borderId="196" applyNumberFormat="0" applyAlignment="0" applyProtection="0"/>
    <xf numFmtId="0" fontId="12" fillId="0" borderId="194">
      <alignment horizontal="left" vertical="center"/>
    </xf>
    <xf numFmtId="0" fontId="81" fillId="59" borderId="196" applyNumberFormat="0" applyAlignment="0" applyProtection="0"/>
    <xf numFmtId="0" fontId="81" fillId="59" borderId="196" applyNumberFormat="0" applyAlignment="0" applyProtection="0"/>
    <xf numFmtId="0" fontId="90" fillId="59" borderId="198" applyNumberFormat="0" applyAlignment="0" applyProtection="0"/>
    <xf numFmtId="0" fontId="9" fillId="62" borderId="197" applyNumberFormat="0" applyFont="0" applyAlignment="0" applyProtection="0"/>
    <xf numFmtId="0" fontId="87" fillId="46" borderId="196" applyNumberFormat="0" applyAlignment="0" applyProtection="0"/>
    <xf numFmtId="0" fontId="87" fillId="46" borderId="196" applyNumberFormat="0" applyAlignment="0" applyProtection="0"/>
    <xf numFmtId="0" fontId="81" fillId="59" borderId="196" applyNumberFormat="0" applyAlignment="0" applyProtection="0"/>
    <xf numFmtId="0" fontId="9" fillId="62" borderId="197" applyNumberFormat="0" applyFont="0" applyAlignment="0" applyProtection="0"/>
    <xf numFmtId="0" fontId="87" fillId="46" borderId="196" applyNumberFormat="0" applyAlignment="0" applyProtection="0"/>
    <xf numFmtId="0" fontId="87" fillId="46" borderId="196" applyNumberFormat="0" applyAlignment="0" applyProtection="0"/>
    <xf numFmtId="0" fontId="90" fillId="59" borderId="198" applyNumberFormat="0" applyAlignment="0" applyProtection="0"/>
    <xf numFmtId="0" fontId="9" fillId="62" borderId="197" applyNumberFormat="0" applyFont="0" applyAlignment="0" applyProtection="0"/>
    <xf numFmtId="0" fontId="90" fillId="59" borderId="198" applyNumberFormat="0" applyAlignment="0" applyProtection="0"/>
    <xf numFmtId="0" fontId="81" fillId="59" borderId="196" applyNumberFormat="0" applyAlignment="0" applyProtection="0"/>
    <xf numFmtId="0" fontId="85" fillId="0" borderId="190" applyNumberFormat="0" applyFill="0" applyAlignment="0" applyProtection="0"/>
    <xf numFmtId="0" fontId="87" fillId="46" borderId="196" applyNumberFormat="0" applyAlignment="0" applyProtection="0"/>
    <xf numFmtId="0" fontId="81" fillId="59" borderId="196" applyNumberFormat="0" applyAlignment="0" applyProtection="0"/>
    <xf numFmtId="0" fontId="81" fillId="59" borderId="196" applyNumberFormat="0" applyAlignment="0" applyProtection="0"/>
    <xf numFmtId="0" fontId="90" fillId="59" borderId="198" applyNumberFormat="0" applyAlignment="0" applyProtection="0"/>
    <xf numFmtId="0" fontId="81" fillId="59" borderId="196" applyNumberFormat="0" applyAlignment="0" applyProtection="0"/>
    <xf numFmtId="0" fontId="90" fillId="59" borderId="192" applyNumberFormat="0" applyAlignment="0" applyProtection="0"/>
    <xf numFmtId="0" fontId="9" fillId="62" borderId="191" applyNumberFormat="0" applyFont="0" applyAlignment="0" applyProtection="0"/>
    <xf numFmtId="0" fontId="9" fillId="62" borderId="197" applyNumberFormat="0" applyFont="0" applyAlignment="0" applyProtection="0"/>
    <xf numFmtId="0" fontId="90" fillId="59" borderId="198" applyNumberFormat="0" applyAlignment="0" applyProtection="0"/>
    <xf numFmtId="0" fontId="85" fillId="0" borderId="178" applyNumberFormat="0" applyFill="0" applyAlignment="0" applyProtection="0"/>
    <xf numFmtId="0" fontId="87" fillId="46" borderId="196" applyNumberFormat="0" applyAlignment="0" applyProtection="0"/>
    <xf numFmtId="0" fontId="81" fillId="59" borderId="202" applyNumberFormat="0" applyAlignment="0" applyProtection="0"/>
    <xf numFmtId="0" fontId="12" fillId="0" borderId="200">
      <alignment horizontal="left" vertical="center"/>
    </xf>
    <xf numFmtId="0" fontId="85" fillId="0" borderId="190" applyNumberFormat="0" applyFill="0" applyAlignment="0" applyProtection="0"/>
    <xf numFmtId="0" fontId="87" fillId="46" borderId="196" applyNumberFormat="0" applyAlignment="0" applyProtection="0"/>
    <xf numFmtId="0" fontId="9" fillId="62" borderId="191" applyNumberFormat="0" applyFont="0" applyAlignment="0" applyProtection="0"/>
    <xf numFmtId="0" fontId="87" fillId="46" borderId="202" applyNumberFormat="0" applyAlignment="0" applyProtection="0"/>
    <xf numFmtId="0" fontId="81" fillId="59" borderId="196" applyNumberFormat="0" applyAlignment="0" applyProtection="0"/>
    <xf numFmtId="0" fontId="90" fillId="59" borderId="198" applyNumberFormat="0" applyAlignment="0" applyProtection="0"/>
    <xf numFmtId="0" fontId="85" fillId="0" borderId="178" applyNumberFormat="0" applyFill="0" applyAlignment="0" applyProtection="0"/>
    <xf numFmtId="0" fontId="87" fillId="46" borderId="196" applyNumberFormat="0" applyAlignment="0" applyProtection="0"/>
    <xf numFmtId="0" fontId="81" fillId="59" borderId="196" applyNumberFormat="0" applyAlignment="0" applyProtection="0"/>
    <xf numFmtId="0" fontId="90" fillId="59" borderId="198" applyNumberFormat="0" applyAlignment="0" applyProtection="0"/>
    <xf numFmtId="0" fontId="9" fillId="62" borderId="197" applyNumberFormat="0" applyFont="0" applyAlignment="0" applyProtection="0"/>
    <xf numFmtId="0" fontId="12" fillId="0" borderId="206">
      <alignment horizontal="left" vertical="center"/>
    </xf>
    <xf numFmtId="0" fontId="87" fillId="46" borderId="196" applyNumberFormat="0" applyAlignment="0" applyProtection="0"/>
    <xf numFmtId="0" fontId="12" fillId="0" borderId="200">
      <alignment horizontal="left" vertical="center"/>
    </xf>
    <xf numFmtId="0" fontId="90" fillId="59" borderId="198" applyNumberFormat="0" applyAlignment="0" applyProtection="0"/>
    <xf numFmtId="0" fontId="9" fillId="62" borderId="197" applyNumberFormat="0" applyFont="0" applyAlignment="0" applyProtection="0"/>
    <xf numFmtId="0" fontId="81" fillId="59" borderId="196" applyNumberFormat="0" applyAlignment="0" applyProtection="0"/>
    <xf numFmtId="0" fontId="81" fillId="59" borderId="196" applyNumberFormat="0" applyAlignment="0" applyProtection="0"/>
    <xf numFmtId="0" fontId="90" fillId="59" borderId="198" applyNumberFormat="0" applyAlignment="0" applyProtection="0"/>
    <xf numFmtId="0" fontId="90" fillId="59" borderId="198" applyNumberFormat="0" applyAlignment="0" applyProtection="0"/>
    <xf numFmtId="0" fontId="9" fillId="62" borderId="197" applyNumberFormat="0" applyFont="0" applyAlignment="0" applyProtection="0"/>
    <xf numFmtId="0" fontId="87" fillId="46" borderId="196" applyNumberFormat="0" applyAlignment="0" applyProtection="0"/>
    <xf numFmtId="0" fontId="87" fillId="46" borderId="196" applyNumberFormat="0" applyAlignment="0" applyProtection="0"/>
    <xf numFmtId="0" fontId="12" fillId="0" borderId="200">
      <alignment horizontal="left" vertical="center"/>
    </xf>
    <xf numFmtId="0" fontId="90" fillId="59" borderId="198" applyNumberFormat="0" applyAlignment="0" applyProtection="0"/>
    <xf numFmtId="0" fontId="90" fillId="59" borderId="192" applyNumberFormat="0" applyAlignment="0" applyProtection="0"/>
    <xf numFmtId="0" fontId="87" fillId="46" borderId="196" applyNumberFormat="0" applyAlignment="0" applyProtection="0"/>
    <xf numFmtId="0" fontId="85" fillId="0" borderId="178" applyNumberFormat="0" applyFill="0" applyAlignment="0" applyProtection="0"/>
    <xf numFmtId="0" fontId="85" fillId="0" borderId="178" applyNumberFormat="0" applyFill="0" applyAlignment="0" applyProtection="0"/>
    <xf numFmtId="0" fontId="85" fillId="0" borderId="178" applyNumberFormat="0" applyFill="0" applyAlignment="0" applyProtection="0"/>
    <xf numFmtId="0" fontId="81" fillId="59" borderId="196" applyNumberFormat="0" applyAlignment="0" applyProtection="0"/>
    <xf numFmtId="0" fontId="90" fillId="59" borderId="198" applyNumberFormat="0" applyAlignment="0" applyProtection="0"/>
    <xf numFmtId="0" fontId="9" fillId="62" borderId="197" applyNumberFormat="0" applyFont="0" applyAlignment="0" applyProtection="0"/>
    <xf numFmtId="0" fontId="81" fillId="59" borderId="196" applyNumberFormat="0" applyAlignment="0" applyProtection="0"/>
    <xf numFmtId="0" fontId="87" fillId="46" borderId="196" applyNumberFormat="0" applyAlignment="0" applyProtection="0"/>
    <xf numFmtId="0" fontId="81" fillId="59" borderId="196" applyNumberFormat="0" applyAlignment="0" applyProtection="0"/>
    <xf numFmtId="0" fontId="81" fillId="59" borderId="196" applyNumberFormat="0" applyAlignment="0" applyProtection="0"/>
    <xf numFmtId="0" fontId="85" fillId="0" borderId="190" applyNumberFormat="0" applyFill="0" applyAlignment="0" applyProtection="0"/>
    <xf numFmtId="0" fontId="9" fillId="62" borderId="197" applyNumberFormat="0" applyFont="0" applyAlignment="0" applyProtection="0"/>
    <xf numFmtId="0" fontId="90" fillId="59" borderId="198" applyNumberFormat="0" applyAlignment="0" applyProtection="0"/>
    <xf numFmtId="0" fontId="64" fillId="59" borderId="196" applyNumberFormat="0" applyAlignment="0" applyProtection="0"/>
    <xf numFmtId="0" fontId="12" fillId="0" borderId="200">
      <alignment horizontal="left" vertical="center"/>
    </xf>
    <xf numFmtId="0" fontId="81" fillId="59" borderId="196" applyNumberFormat="0" applyAlignment="0" applyProtection="0"/>
    <xf numFmtId="0" fontId="12" fillId="0" borderId="200">
      <alignment horizontal="left" vertical="center"/>
    </xf>
    <xf numFmtId="0" fontId="90" fillId="59" borderId="192" applyNumberFormat="0" applyAlignment="0" applyProtection="0"/>
    <xf numFmtId="0" fontId="87" fillId="46" borderId="189" applyNumberFormat="0" applyAlignment="0" applyProtection="0"/>
    <xf numFmtId="0" fontId="87" fillId="46" borderId="189" applyNumberFormat="0" applyAlignment="0" applyProtection="0"/>
    <xf numFmtId="0" fontId="12" fillId="0" borderId="194">
      <alignment horizontal="left" vertical="center"/>
    </xf>
    <xf numFmtId="0" fontId="81" fillId="59" borderId="189" applyNumberFormat="0" applyAlignment="0" applyProtection="0"/>
    <xf numFmtId="0" fontId="81" fillId="59" borderId="196" applyNumberFormat="0" applyAlignment="0" applyProtection="0"/>
    <xf numFmtId="0" fontId="12" fillId="0" borderId="200">
      <alignment horizontal="left" vertical="center"/>
    </xf>
    <xf numFmtId="0" fontId="9" fillId="62" borderId="191" applyNumberFormat="0" applyFont="0" applyAlignment="0" applyProtection="0"/>
    <xf numFmtId="0" fontId="90" fillId="59" borderId="198" applyNumberFormat="0" applyAlignment="0" applyProtection="0"/>
    <xf numFmtId="0" fontId="81" fillId="59" borderId="189" applyNumberFormat="0" applyAlignment="0" applyProtection="0"/>
    <xf numFmtId="0" fontId="81" fillId="59" borderId="189" applyNumberFormat="0" applyAlignment="0" applyProtection="0"/>
    <xf numFmtId="0" fontId="81" fillId="59" borderId="202" applyNumberFormat="0" applyAlignment="0" applyProtection="0"/>
    <xf numFmtId="0" fontId="90" fillId="59" borderId="198" applyNumberFormat="0" applyAlignment="0" applyProtection="0"/>
    <xf numFmtId="0" fontId="9" fillId="62" borderId="197" applyNumberFormat="0" applyFont="0" applyAlignment="0" applyProtection="0"/>
    <xf numFmtId="0" fontId="9" fillId="62" borderId="191" applyNumberFormat="0" applyFont="0" applyAlignment="0" applyProtection="0"/>
    <xf numFmtId="0" fontId="87" fillId="46" borderId="196" applyNumberFormat="0" applyAlignment="0" applyProtection="0"/>
    <xf numFmtId="0" fontId="87" fillId="46" borderId="196" applyNumberFormat="0" applyAlignment="0" applyProtection="0"/>
    <xf numFmtId="0" fontId="87" fillId="46" borderId="196" applyNumberFormat="0" applyAlignment="0" applyProtection="0"/>
    <xf numFmtId="0" fontId="90" fillId="59" borderId="198" applyNumberFormat="0" applyAlignment="0" applyProtection="0"/>
    <xf numFmtId="0" fontId="90" fillId="59" borderId="198" applyNumberFormat="0" applyAlignment="0" applyProtection="0"/>
    <xf numFmtId="0" fontId="71" fillId="46" borderId="196" applyNumberFormat="0" applyAlignment="0" applyProtection="0"/>
    <xf numFmtId="0" fontId="81" fillId="59" borderId="196" applyNumberFormat="0" applyAlignment="0" applyProtection="0"/>
    <xf numFmtId="0" fontId="81" fillId="59" borderId="196" applyNumberFormat="0" applyAlignment="0" applyProtection="0"/>
    <xf numFmtId="0" fontId="87" fillId="46" borderId="196" applyNumberFormat="0" applyAlignment="0" applyProtection="0"/>
    <xf numFmtId="0" fontId="76" fillId="0" borderId="199" applyNumberFormat="0" applyFill="0" applyAlignment="0" applyProtection="0"/>
    <xf numFmtId="0" fontId="90" fillId="59" borderId="192" applyNumberFormat="0" applyAlignment="0" applyProtection="0"/>
    <xf numFmtId="0" fontId="87" fillId="46" borderId="189" applyNumberFormat="0" applyAlignment="0" applyProtection="0"/>
    <xf numFmtId="0" fontId="87" fillId="46" borderId="189" applyNumberFormat="0" applyAlignment="0" applyProtection="0"/>
    <xf numFmtId="0" fontId="12" fillId="0" borderId="194">
      <alignment horizontal="left" vertical="center"/>
    </xf>
    <xf numFmtId="0" fontId="81" fillId="59" borderId="189" applyNumberFormat="0" applyAlignment="0" applyProtection="0"/>
    <xf numFmtId="0" fontId="64" fillId="59" borderId="189" applyNumberFormat="0" applyAlignment="0" applyProtection="0"/>
    <xf numFmtId="0" fontId="87" fillId="46" borderId="196" applyNumberFormat="0" applyAlignment="0" applyProtection="0"/>
    <xf numFmtId="0" fontId="81" fillId="59" borderId="196" applyNumberFormat="0" applyAlignment="0" applyProtection="0"/>
    <xf numFmtId="0" fontId="81" fillId="59" borderId="189" applyNumberFormat="0" applyAlignment="0" applyProtection="0"/>
    <xf numFmtId="0" fontId="81" fillId="59" borderId="189" applyNumberFormat="0" applyAlignment="0" applyProtection="0"/>
    <xf numFmtId="0" fontId="87" fillId="46" borderId="196" applyNumberFormat="0" applyAlignment="0" applyProtection="0"/>
    <xf numFmtId="0" fontId="87" fillId="46" borderId="196" applyNumberFormat="0" applyAlignment="0" applyProtection="0"/>
    <xf numFmtId="0" fontId="85" fillId="0" borderId="178" applyNumberFormat="0" applyFill="0" applyAlignment="0" applyProtection="0"/>
    <xf numFmtId="0" fontId="12" fillId="0" borderId="200">
      <alignment horizontal="left" vertical="center"/>
    </xf>
    <xf numFmtId="0" fontId="90" fillId="59" borderId="198" applyNumberFormat="0" applyAlignment="0" applyProtection="0"/>
    <xf numFmtId="0" fontId="11" fillId="62" borderId="197" applyNumberFormat="0" applyFont="0" applyAlignment="0" applyProtection="0"/>
    <xf numFmtId="0" fontId="87" fillId="46" borderId="196" applyNumberFormat="0" applyAlignment="0" applyProtection="0"/>
    <xf numFmtId="0" fontId="81" fillId="59" borderId="196" applyNumberFormat="0" applyAlignment="0" applyProtection="0"/>
    <xf numFmtId="0" fontId="9" fillId="62" borderId="197" applyNumberFormat="0" applyFont="0" applyAlignment="0" applyProtection="0"/>
    <xf numFmtId="10" fontId="11" fillId="3" borderId="201" applyNumberFormat="0" applyBorder="0" applyAlignment="0" applyProtection="0"/>
    <xf numFmtId="0" fontId="87" fillId="46" borderId="196" applyNumberFormat="0" applyAlignment="0" applyProtection="0"/>
    <xf numFmtId="0" fontId="90" fillId="59" borderId="192" applyNumberFormat="0" applyAlignment="0" applyProtection="0"/>
    <xf numFmtId="0" fontId="87" fillId="46" borderId="189" applyNumberFormat="0" applyAlignment="0" applyProtection="0"/>
    <xf numFmtId="0" fontId="87" fillId="46" borderId="189" applyNumberFormat="0" applyAlignment="0" applyProtection="0"/>
    <xf numFmtId="0" fontId="12" fillId="0" borderId="194">
      <alignment horizontal="left" vertical="center"/>
    </xf>
    <xf numFmtId="0" fontId="81" fillId="59" borderId="189" applyNumberFormat="0" applyAlignment="0" applyProtection="0"/>
    <xf numFmtId="0" fontId="9" fillId="62" borderId="197" applyNumberFormat="0" applyFont="0" applyAlignment="0" applyProtection="0"/>
    <xf numFmtId="0" fontId="9" fillId="62" borderId="191" applyNumberFormat="0" applyFont="0" applyAlignment="0" applyProtection="0"/>
    <xf numFmtId="0" fontId="87" fillId="46" borderId="196" applyNumberFormat="0" applyAlignment="0" applyProtection="0"/>
    <xf numFmtId="0" fontId="81" fillId="59" borderId="189" applyNumberFormat="0" applyAlignment="0" applyProtection="0"/>
    <xf numFmtId="0" fontId="81" fillId="59" borderId="189" applyNumberFormat="0" applyAlignment="0" applyProtection="0"/>
    <xf numFmtId="0" fontId="87" fillId="46" borderId="196" applyNumberFormat="0" applyAlignment="0" applyProtection="0"/>
    <xf numFmtId="0" fontId="90" fillId="59" borderId="198" applyNumberFormat="0" applyAlignment="0" applyProtection="0"/>
    <xf numFmtId="0" fontId="12" fillId="0" borderId="200">
      <alignment horizontal="left" vertical="center"/>
    </xf>
    <xf numFmtId="0" fontId="12" fillId="0" borderId="200">
      <alignment horizontal="left" vertical="center"/>
    </xf>
    <xf numFmtId="0" fontId="87" fillId="46" borderId="202" applyNumberFormat="0" applyAlignment="0" applyProtection="0"/>
    <xf numFmtId="0" fontId="74" fillId="59" borderId="198" applyNumberFormat="0" applyAlignment="0" applyProtection="0"/>
    <xf numFmtId="0" fontId="9" fillId="62" borderId="197" applyNumberFormat="0" applyFont="0" applyAlignment="0" applyProtection="0"/>
    <xf numFmtId="0" fontId="90" fillId="59" borderId="192" applyNumberFormat="0" applyAlignment="0" applyProtection="0"/>
    <xf numFmtId="0" fontId="87" fillId="46" borderId="189" applyNumberFormat="0" applyAlignment="0" applyProtection="0"/>
    <xf numFmtId="0" fontId="87" fillId="46" borderId="189" applyNumberFormat="0" applyAlignment="0" applyProtection="0"/>
    <xf numFmtId="0" fontId="12" fillId="0" borderId="194">
      <alignment horizontal="left" vertical="center"/>
    </xf>
    <xf numFmtId="0" fontId="81" fillId="59" borderId="189" applyNumberFormat="0" applyAlignment="0" applyProtection="0"/>
    <xf numFmtId="0" fontId="60" fillId="0" borderId="0"/>
    <xf numFmtId="0" fontId="81" fillId="59" borderId="189" applyNumberFormat="0" applyAlignment="0" applyProtection="0"/>
    <xf numFmtId="0" fontId="81" fillId="59" borderId="189" applyNumberFormat="0" applyAlignment="0" applyProtection="0"/>
    <xf numFmtId="0" fontId="81" fillId="59" borderId="189" applyNumberFormat="0" applyAlignment="0" applyProtection="0"/>
    <xf numFmtId="0" fontId="87" fillId="46" borderId="196" applyNumberFormat="0" applyAlignment="0" applyProtection="0"/>
    <xf numFmtId="0" fontId="90" fillId="59" borderId="198" applyNumberFormat="0" applyAlignment="0" applyProtection="0"/>
    <xf numFmtId="0" fontId="81" fillId="59" borderId="196" applyNumberFormat="0" applyAlignment="0" applyProtection="0"/>
    <xf numFmtId="0" fontId="85" fillId="0" borderId="190" applyNumberFormat="0" applyFill="0" applyAlignment="0" applyProtection="0"/>
    <xf numFmtId="0" fontId="81" fillId="59" borderId="196" applyNumberFormat="0" applyAlignment="0" applyProtection="0"/>
    <xf numFmtId="0" fontId="11" fillId="62" borderId="197" applyNumberFormat="0" applyFont="0" applyAlignment="0" applyProtection="0"/>
    <xf numFmtId="0" fontId="90" fillId="59" borderId="198" applyNumberFormat="0" applyAlignment="0" applyProtection="0"/>
    <xf numFmtId="0" fontId="90" fillId="59" borderId="192" applyNumberFormat="0" applyAlignment="0" applyProtection="0"/>
    <xf numFmtId="0" fontId="87" fillId="46" borderId="189" applyNumberFormat="0" applyAlignment="0" applyProtection="0"/>
    <xf numFmtId="0" fontId="87" fillId="46" borderId="189" applyNumberFormat="0" applyAlignment="0" applyProtection="0"/>
    <xf numFmtId="0" fontId="12" fillId="0" borderId="194">
      <alignment horizontal="left" vertical="center"/>
    </xf>
    <xf numFmtId="0" fontId="81" fillId="59" borderId="189" applyNumberFormat="0" applyAlignment="0" applyProtection="0"/>
    <xf numFmtId="0" fontId="87" fillId="46" borderId="196" applyNumberFormat="0" applyAlignment="0" applyProtection="0"/>
    <xf numFmtId="0" fontId="9" fillId="62" borderId="197" applyNumberFormat="0" applyFont="0" applyAlignment="0" applyProtection="0"/>
    <xf numFmtId="0" fontId="90" fillId="59" borderId="198" applyNumberFormat="0" applyAlignment="0" applyProtection="0"/>
    <xf numFmtId="0" fontId="90" fillId="59" borderId="198" applyNumberFormat="0" applyAlignment="0" applyProtection="0"/>
    <xf numFmtId="0" fontId="87" fillId="46" borderId="196" applyNumberFormat="0" applyAlignment="0" applyProtection="0"/>
    <xf numFmtId="0" fontId="12" fillId="0" borderId="200">
      <alignment horizontal="left" vertical="center"/>
    </xf>
    <xf numFmtId="0" fontId="87" fillId="46" borderId="196" applyNumberFormat="0" applyAlignment="0" applyProtection="0"/>
    <xf numFmtId="0" fontId="81" fillId="59" borderId="189" applyNumberFormat="0" applyAlignment="0" applyProtection="0"/>
    <xf numFmtId="0" fontId="81" fillId="59" borderId="189" applyNumberFormat="0" applyAlignment="0" applyProtection="0"/>
    <xf numFmtId="0" fontId="87" fillId="46" borderId="196" applyNumberFormat="0" applyAlignment="0" applyProtection="0"/>
    <xf numFmtId="0" fontId="9" fillId="62" borderId="197" applyNumberFormat="0" applyFont="0" applyAlignment="0" applyProtection="0"/>
    <xf numFmtId="0" fontId="90" fillId="59" borderId="198" applyNumberFormat="0" applyAlignment="0" applyProtection="0"/>
    <xf numFmtId="0" fontId="11" fillId="62" borderId="166" applyNumberFormat="0" applyFont="0" applyAlignment="0" applyProtection="0"/>
    <xf numFmtId="0" fontId="9" fillId="62" borderId="197" applyNumberFormat="0" applyFont="0" applyAlignment="0" applyProtection="0"/>
    <xf numFmtId="0" fontId="70" fillId="0" borderId="190" applyNumberFormat="0" applyFill="0" applyAlignment="0" applyProtection="0"/>
    <xf numFmtId="0" fontId="87" fillId="46" borderId="196" applyNumberFormat="0" applyAlignment="0" applyProtection="0"/>
    <xf numFmtId="0" fontId="9" fillId="62" borderId="191" applyNumberFormat="0" applyFont="0" applyAlignment="0" applyProtection="0"/>
    <xf numFmtId="0" fontId="87" fillId="46" borderId="196" applyNumberFormat="0" applyAlignment="0" applyProtection="0"/>
    <xf numFmtId="0" fontId="90" fillId="59" borderId="198" applyNumberFormat="0" applyAlignment="0" applyProtection="0"/>
    <xf numFmtId="0" fontId="90" fillId="59" borderId="198" applyNumberFormat="0" applyAlignment="0" applyProtection="0"/>
    <xf numFmtId="0" fontId="9" fillId="62" borderId="197" applyNumberFormat="0" applyFont="0" applyAlignment="0" applyProtection="0"/>
    <xf numFmtId="0" fontId="87" fillId="46" borderId="196" applyNumberFormat="0" applyAlignment="0" applyProtection="0"/>
    <xf numFmtId="0" fontId="87" fillId="46" borderId="196" applyNumberFormat="0" applyAlignment="0" applyProtection="0"/>
    <xf numFmtId="0" fontId="90" fillId="59" borderId="198" applyNumberFormat="0" applyAlignment="0" applyProtection="0"/>
    <xf numFmtId="0" fontId="90" fillId="59" borderId="198" applyNumberFormat="0" applyAlignment="0" applyProtection="0"/>
    <xf numFmtId="0" fontId="9" fillId="62" borderId="197" applyNumberFormat="0" applyFont="0" applyAlignment="0" applyProtection="0"/>
    <xf numFmtId="0" fontId="87" fillId="46" borderId="196" applyNumberFormat="0" applyAlignment="0" applyProtection="0"/>
    <xf numFmtId="0" fontId="76" fillId="0" borderId="199" applyNumberFormat="0" applyFill="0" applyAlignment="0" applyProtection="0"/>
    <xf numFmtId="0" fontId="90" fillId="59" borderId="198" applyNumberFormat="0" applyAlignment="0" applyProtection="0"/>
    <xf numFmtId="0" fontId="9" fillId="62" borderId="197" applyNumberFormat="0" applyFont="0" applyAlignment="0" applyProtection="0"/>
    <xf numFmtId="0" fontId="81" fillId="59" borderId="196" applyNumberFormat="0" applyAlignment="0" applyProtection="0"/>
    <xf numFmtId="0" fontId="87" fillId="46" borderId="196" applyNumberFormat="0" applyAlignment="0" applyProtection="0"/>
    <xf numFmtId="0" fontId="87" fillId="46" borderId="196" applyNumberFormat="0" applyAlignment="0" applyProtection="0"/>
    <xf numFmtId="0" fontId="85" fillId="0" borderId="190" applyNumberFormat="0" applyFill="0" applyAlignment="0" applyProtection="0"/>
    <xf numFmtId="0" fontId="81" fillId="59" borderId="196" applyNumberFormat="0" applyAlignment="0" applyProtection="0"/>
    <xf numFmtId="10" fontId="11" fillId="3" borderId="201" applyNumberFormat="0" applyBorder="0" applyAlignment="0" applyProtection="0"/>
    <xf numFmtId="0" fontId="90" fillId="59" borderId="198" applyNumberFormat="0" applyAlignment="0" applyProtection="0"/>
    <xf numFmtId="0" fontId="87" fillId="46" borderId="196" applyNumberFormat="0" applyAlignment="0" applyProtection="0"/>
    <xf numFmtId="0" fontId="81" fillId="59" borderId="196" applyNumberFormat="0" applyAlignment="0" applyProtection="0"/>
    <xf numFmtId="0" fontId="12" fillId="0" borderId="200">
      <alignment horizontal="left" vertical="center"/>
    </xf>
    <xf numFmtId="0" fontId="87" fillId="46" borderId="196" applyNumberFormat="0" applyAlignment="0" applyProtection="0"/>
    <xf numFmtId="0" fontId="9" fillId="62" borderId="197" applyNumberFormat="0" applyFont="0" applyAlignment="0" applyProtection="0"/>
    <xf numFmtId="0" fontId="90" fillId="59" borderId="198" applyNumberFormat="0" applyAlignment="0" applyProtection="0"/>
    <xf numFmtId="0" fontId="81" fillId="59" borderId="196" applyNumberFormat="0" applyAlignment="0" applyProtection="0"/>
    <xf numFmtId="0" fontId="64"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11" fillId="62" borderId="197" applyNumberFormat="0" applyFont="0" applyAlignment="0" applyProtection="0"/>
    <xf numFmtId="0" fontId="90" fillId="59" borderId="192" applyNumberFormat="0" applyAlignment="0" applyProtection="0"/>
    <xf numFmtId="0" fontId="90" fillId="59" borderId="192" applyNumberFormat="0" applyAlignment="0" applyProtection="0"/>
    <xf numFmtId="0" fontId="87" fillId="46" borderId="189" applyNumberFormat="0" applyAlignment="0" applyProtection="0"/>
    <xf numFmtId="0" fontId="87" fillId="46" borderId="189" applyNumberFormat="0" applyAlignment="0" applyProtection="0"/>
    <xf numFmtId="0" fontId="12" fillId="0" borderId="194">
      <alignment horizontal="left" vertical="center"/>
    </xf>
    <xf numFmtId="0" fontId="81" fillId="59" borderId="189" applyNumberFormat="0" applyAlignment="0" applyProtection="0"/>
    <xf numFmtId="0" fontId="81" fillId="59" borderId="189" applyNumberFormat="0" applyAlignment="0" applyProtection="0"/>
    <xf numFmtId="0" fontId="81" fillId="59" borderId="189" applyNumberFormat="0" applyAlignment="0" applyProtection="0"/>
    <xf numFmtId="0" fontId="87" fillId="46" borderId="196" applyNumberFormat="0" applyAlignment="0" applyProtection="0"/>
    <xf numFmtId="0" fontId="9" fillId="62" borderId="191" applyNumberFormat="0" applyFont="0" applyAlignment="0" applyProtection="0"/>
    <xf numFmtId="0" fontId="87" fillId="46" borderId="196" applyNumberFormat="0" applyAlignment="0" applyProtection="0"/>
    <xf numFmtId="0" fontId="9" fillId="62" borderId="191" applyNumberFormat="0" applyFont="0" applyAlignment="0" applyProtection="0"/>
    <xf numFmtId="0" fontId="87" fillId="46" borderId="196" applyNumberFormat="0" applyAlignment="0" applyProtection="0"/>
    <xf numFmtId="0" fontId="90" fillId="59" borderId="198"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87" fillId="46" borderId="196" applyNumberFormat="0" applyAlignment="0" applyProtection="0"/>
    <xf numFmtId="0" fontId="87" fillId="46" borderId="196" applyNumberFormat="0" applyAlignment="0" applyProtection="0"/>
    <xf numFmtId="0" fontId="90" fillId="59" borderId="198" applyNumberFormat="0" applyAlignment="0" applyProtection="0"/>
    <xf numFmtId="0" fontId="90" fillId="59" borderId="198" applyNumberFormat="0" applyAlignment="0" applyProtection="0"/>
    <xf numFmtId="0" fontId="9" fillId="62" borderId="197" applyNumberFormat="0" applyFont="0" applyAlignment="0" applyProtection="0"/>
    <xf numFmtId="0" fontId="87" fillId="46" borderId="196" applyNumberFormat="0" applyAlignment="0" applyProtection="0"/>
    <xf numFmtId="0" fontId="81" fillId="59" borderId="196" applyNumberFormat="0" applyAlignment="0" applyProtection="0"/>
    <xf numFmtId="0" fontId="90" fillId="59" borderId="198" applyNumberFormat="0" applyAlignment="0" applyProtection="0"/>
    <xf numFmtId="0" fontId="9" fillId="62" borderId="197" applyNumberFormat="0" applyFont="0" applyAlignment="0" applyProtection="0"/>
    <xf numFmtId="0" fontId="71" fillId="46" borderId="196" applyNumberFormat="0" applyAlignment="0" applyProtection="0"/>
    <xf numFmtId="0" fontId="87" fillId="46" borderId="196" applyNumberFormat="0" applyAlignment="0" applyProtection="0"/>
    <xf numFmtId="10" fontId="11" fillId="3" borderId="201" applyNumberFormat="0" applyBorder="0" applyAlignment="0" applyProtection="0"/>
    <xf numFmtId="0" fontId="87" fillId="46" borderId="196" applyNumberFormat="0" applyAlignment="0" applyProtection="0"/>
    <xf numFmtId="0" fontId="12" fillId="0" borderId="200">
      <alignment horizontal="left" vertical="center"/>
    </xf>
    <xf numFmtId="0" fontId="90" fillId="59" borderId="198" applyNumberFormat="0" applyAlignment="0" applyProtection="0"/>
    <xf numFmtId="0" fontId="87" fillId="46" borderId="196" applyNumberFormat="0" applyAlignment="0" applyProtection="0"/>
    <xf numFmtId="0" fontId="81" fillId="59" borderId="196" applyNumberFormat="0" applyAlignment="0" applyProtection="0"/>
    <xf numFmtId="0" fontId="12" fillId="0" borderId="200">
      <alignment horizontal="left" vertical="center"/>
    </xf>
    <xf numFmtId="0" fontId="87" fillId="46" borderId="196" applyNumberFormat="0" applyAlignment="0" applyProtection="0"/>
    <xf numFmtId="0" fontId="9" fillId="62" borderId="197" applyNumberFormat="0" applyFont="0" applyAlignment="0" applyProtection="0"/>
    <xf numFmtId="0" fontId="90" fillId="59" borderId="198" applyNumberFormat="0" applyAlignment="0" applyProtection="0"/>
    <xf numFmtId="0" fontId="81" fillId="59" borderId="196" applyNumberFormat="0" applyAlignment="0" applyProtection="0"/>
    <xf numFmtId="0" fontId="71" fillId="46" borderId="196" applyNumberFormat="0" applyAlignment="0" applyProtection="0"/>
    <xf numFmtId="0" fontId="81" fillId="59" borderId="196" applyNumberFormat="0" applyAlignment="0" applyProtection="0"/>
    <xf numFmtId="0" fontId="81" fillId="59" borderId="196" applyNumberFormat="0" applyAlignment="0" applyProtection="0"/>
    <xf numFmtId="0" fontId="81" fillId="59" borderId="196" applyNumberFormat="0" applyAlignment="0" applyProtection="0"/>
    <xf numFmtId="0" fontId="90" fillId="59" borderId="192" applyNumberFormat="0" applyAlignment="0" applyProtection="0"/>
    <xf numFmtId="0" fontId="90" fillId="59" borderId="192" applyNumberFormat="0" applyAlignment="0" applyProtection="0"/>
    <xf numFmtId="0" fontId="87" fillId="46" borderId="189" applyNumberFormat="0" applyAlignment="0" applyProtection="0"/>
    <xf numFmtId="0" fontId="87" fillId="46" borderId="189" applyNumberFormat="0" applyAlignment="0" applyProtection="0"/>
    <xf numFmtId="0" fontId="12" fillId="0" borderId="194">
      <alignment horizontal="left" vertical="center"/>
    </xf>
    <xf numFmtId="0" fontId="81" fillId="59" borderId="189" applyNumberFormat="0" applyAlignment="0" applyProtection="0"/>
    <xf numFmtId="0" fontId="81" fillId="59" borderId="189" applyNumberFormat="0" applyAlignment="0" applyProtection="0"/>
    <xf numFmtId="0" fontId="12" fillId="0" borderId="200">
      <alignment horizontal="left" vertical="center"/>
    </xf>
    <xf numFmtId="0" fontId="11" fillId="62" borderId="191" applyNumberFormat="0" applyFont="0" applyAlignment="0" applyProtection="0"/>
    <xf numFmtId="0" fontId="9" fillId="62" borderId="197" applyNumberFormat="0" applyFont="0" applyAlignment="0" applyProtection="0"/>
    <xf numFmtId="0" fontId="12" fillId="0" borderId="200">
      <alignment horizontal="left" vertical="center"/>
    </xf>
    <xf numFmtId="0" fontId="9" fillId="62" borderId="197" applyNumberFormat="0" applyFont="0" applyAlignment="0" applyProtection="0"/>
    <xf numFmtId="0" fontId="85" fillId="0" borderId="190" applyNumberFormat="0" applyFill="0" applyAlignment="0" applyProtection="0"/>
    <xf numFmtId="0" fontId="87" fillId="46" borderId="196" applyNumberFormat="0" applyAlignment="0" applyProtection="0"/>
    <xf numFmtId="0" fontId="81" fillId="59" borderId="196" applyNumberFormat="0" applyAlignment="0" applyProtection="0"/>
    <xf numFmtId="0" fontId="64" fillId="59" borderId="196" applyNumberFormat="0" applyAlignment="0" applyProtection="0"/>
    <xf numFmtId="0" fontId="81" fillId="59" borderId="202" applyNumberFormat="0" applyAlignment="0" applyProtection="0"/>
    <xf numFmtId="0" fontId="90" fillId="59" borderId="198" applyNumberFormat="0" applyAlignment="0" applyProtection="0"/>
    <xf numFmtId="0" fontId="11" fillId="62" borderId="197" applyNumberFormat="0" applyFont="0" applyAlignment="0" applyProtection="0"/>
    <xf numFmtId="0" fontId="12" fillId="0" borderId="200">
      <alignment horizontal="left" vertical="center"/>
    </xf>
    <xf numFmtId="0" fontId="81" fillId="59" borderId="196" applyNumberFormat="0" applyAlignment="0" applyProtection="0"/>
    <xf numFmtId="0" fontId="81" fillId="59" borderId="196" applyNumberFormat="0" applyAlignment="0" applyProtection="0"/>
    <xf numFmtId="0" fontId="87" fillId="46" borderId="196" applyNumberFormat="0" applyAlignment="0" applyProtection="0"/>
    <xf numFmtId="0" fontId="87" fillId="46" borderId="196" applyNumberFormat="0" applyAlignment="0" applyProtection="0"/>
    <xf numFmtId="0" fontId="90" fillId="59" borderId="192" applyNumberFormat="0" applyAlignment="0" applyProtection="0"/>
    <xf numFmtId="0" fontId="9" fillId="62" borderId="191" applyNumberFormat="0" applyFont="0" applyAlignment="0" applyProtection="0"/>
    <xf numFmtId="0" fontId="87" fillId="46" borderId="189" applyNumberFormat="0" applyAlignment="0" applyProtection="0"/>
    <xf numFmtId="10" fontId="11" fillId="3" borderId="188" applyNumberFormat="0" applyBorder="0" applyAlignment="0" applyProtection="0"/>
    <xf numFmtId="0" fontId="81" fillId="59" borderId="189" applyNumberFormat="0" applyAlignment="0" applyProtection="0"/>
    <xf numFmtId="0" fontId="81" fillId="59" borderId="189" applyNumberFormat="0" applyAlignment="0" applyProtection="0"/>
    <xf numFmtId="0" fontId="11" fillId="62" borderId="191"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81" fillId="59" borderId="196" applyNumberFormat="0" applyAlignment="0" applyProtection="0"/>
    <xf numFmtId="0" fontId="87" fillId="46" borderId="196" applyNumberFormat="0" applyAlignment="0" applyProtection="0"/>
    <xf numFmtId="0" fontId="87" fillId="46" borderId="196" applyNumberFormat="0" applyAlignment="0" applyProtection="0"/>
    <xf numFmtId="0" fontId="90" fillId="59" borderId="192" applyNumberFormat="0" applyAlignment="0" applyProtection="0"/>
    <xf numFmtId="0" fontId="9" fillId="62" borderId="191" applyNumberFormat="0" applyFont="0" applyAlignment="0" applyProtection="0"/>
    <xf numFmtId="0" fontId="87" fillId="46" borderId="189" applyNumberFormat="0" applyAlignment="0" applyProtection="0"/>
    <xf numFmtId="0" fontId="12" fillId="0" borderId="194">
      <alignment horizontal="left" vertical="center"/>
    </xf>
    <xf numFmtId="0" fontId="81" fillId="59" borderId="189" applyNumberForma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9" fillId="62" borderId="166" applyNumberFormat="0" applyFont="0" applyAlignment="0" applyProtection="0"/>
    <xf numFmtId="0" fontId="64" fillId="59" borderId="183" applyNumberFormat="0" applyAlignment="0" applyProtection="0"/>
    <xf numFmtId="0" fontId="71" fillId="46" borderId="183" applyNumberFormat="0" applyAlignment="0" applyProtection="0"/>
    <xf numFmtId="0" fontId="11" fillId="62" borderId="184" applyNumberFormat="0" applyFont="0" applyAlignment="0" applyProtection="0"/>
    <xf numFmtId="0" fontId="74" fillId="59" borderId="185" applyNumberFormat="0" applyAlignment="0" applyProtection="0"/>
    <xf numFmtId="0" fontId="76" fillId="0" borderId="186" applyNumberFormat="0" applyFill="0" applyAlignment="0" applyProtection="0"/>
    <xf numFmtId="10" fontId="60" fillId="0" borderId="0" applyFont="0" applyFill="0" applyBorder="0" applyAlignment="0" applyProtection="0"/>
    <xf numFmtId="0" fontId="90" fillId="59" borderId="198"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12" fillId="0" borderId="200">
      <alignment horizontal="left" vertical="center"/>
    </xf>
    <xf numFmtId="0" fontId="9" fillId="62" borderId="197" applyNumberFormat="0" applyFon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10" fontId="11" fillId="3" borderId="188" applyNumberFormat="0" applyBorder="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81" fillId="59" borderId="208" applyNumberFormat="0" applyAlignment="0" applyProtection="0"/>
    <xf numFmtId="0" fontId="76" fillId="0" borderId="211" applyNumberFormat="0" applyFill="0" applyAlignment="0" applyProtection="0"/>
    <xf numFmtId="0" fontId="12" fillId="0" borderId="218">
      <alignment horizontal="left" vertical="center"/>
    </xf>
    <xf numFmtId="0" fontId="85" fillId="0" borderId="190" applyNumberFormat="0" applyFill="0" applyAlignment="0" applyProtection="0"/>
    <xf numFmtId="0" fontId="81" fillId="59" borderId="196" applyNumberFormat="0" applyAlignment="0" applyProtection="0"/>
    <xf numFmtId="0" fontId="81" fillId="59" borderId="214" applyNumberFormat="0" applyAlignment="0" applyProtection="0"/>
    <xf numFmtId="0" fontId="9" fillId="62" borderId="197" applyNumberFormat="0" applyFont="0" applyAlignment="0" applyProtection="0"/>
    <xf numFmtId="0" fontId="64" fillId="59" borderId="208" applyNumberFormat="0" applyAlignment="0" applyProtection="0"/>
    <xf numFmtId="0" fontId="12" fillId="0" borderId="194">
      <alignment horizontal="left" vertical="center"/>
    </xf>
    <xf numFmtId="0" fontId="64" fillId="59" borderId="183" applyNumberFormat="0" applyAlignment="0" applyProtection="0"/>
    <xf numFmtId="0" fontId="71" fillId="46" borderId="183" applyNumberFormat="0" applyAlignment="0" applyProtection="0"/>
    <xf numFmtId="0" fontId="11" fillId="62" borderId="184" applyNumberFormat="0" applyFont="0" applyAlignment="0" applyProtection="0"/>
    <xf numFmtId="0" fontId="74" fillId="59" borderId="185" applyNumberFormat="0" applyAlignment="0" applyProtection="0"/>
    <xf numFmtId="0" fontId="76" fillId="0" borderId="186" applyNumberFormat="0" applyFill="0" applyAlignment="0" applyProtection="0"/>
    <xf numFmtId="0" fontId="90" fillId="59" borderId="198"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10" fontId="11" fillId="3" borderId="201" applyNumberFormat="0" applyBorder="0" applyAlignment="0" applyProtection="0"/>
    <xf numFmtId="0" fontId="9" fillId="62" borderId="197" applyNumberFormat="0" applyFont="0" applyAlignment="0" applyProtection="0"/>
    <xf numFmtId="0" fontId="87" fillId="46" borderId="196" applyNumberFormat="0" applyAlignment="0" applyProtection="0"/>
    <xf numFmtId="0" fontId="74" fillId="59" borderId="192" applyNumberFormat="0" applyAlignment="0" applyProtection="0"/>
    <xf numFmtId="0" fontId="90" fillId="59" borderId="198" applyNumberFormat="0" applyAlignment="0" applyProtection="0"/>
    <xf numFmtId="0" fontId="9" fillId="62" borderId="197" applyNumberFormat="0" applyFont="0" applyAlignment="0" applyProtection="0"/>
    <xf numFmtId="0" fontId="90" fillId="59" borderId="198" applyNumberFormat="0" applyAlignment="0" applyProtection="0"/>
    <xf numFmtId="0" fontId="87" fillId="46" borderId="196" applyNumberFormat="0" applyAlignment="0" applyProtection="0"/>
    <xf numFmtId="0" fontId="9" fillId="62" borderId="197" applyNumberFormat="0" applyFont="0" applyAlignment="0" applyProtection="0"/>
    <xf numFmtId="0" fontId="81" fillId="59" borderId="196" applyNumberFormat="0" applyAlignment="0" applyProtection="0"/>
    <xf numFmtId="0" fontId="81" fillId="59" borderId="196" applyNumberFormat="0" applyAlignment="0" applyProtection="0"/>
    <xf numFmtId="0" fontId="81" fillId="59" borderId="202"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9" applyNumberForma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87" fillId="46" borderId="214" applyNumberFormat="0" applyAlignment="0" applyProtection="0"/>
    <xf numFmtId="0" fontId="81" fillId="59" borderId="208" applyNumberFormat="0" applyAlignment="0" applyProtection="0"/>
    <xf numFmtId="0" fontId="87" fillId="46" borderId="219" applyNumberFormat="0" applyAlignment="0" applyProtection="0"/>
    <xf numFmtId="0" fontId="81" fillId="59" borderId="208" applyNumberFormat="0" applyAlignment="0" applyProtection="0"/>
    <xf numFmtId="0" fontId="85" fillId="0" borderId="190" applyNumberFormat="0" applyFill="0" applyAlignment="0" applyProtection="0"/>
    <xf numFmtId="0" fontId="85" fillId="0" borderId="190" applyNumberFormat="0" applyFill="0" applyAlignment="0" applyProtection="0"/>
    <xf numFmtId="0" fontId="11" fillId="62" borderId="197" applyNumberFormat="0" applyFont="0" applyAlignment="0" applyProtection="0"/>
    <xf numFmtId="0" fontId="81" fillId="59" borderId="214" applyNumberFormat="0" applyAlignment="0" applyProtection="0"/>
    <xf numFmtId="0" fontId="9" fillId="62" borderId="197" applyNumberFormat="0" applyFont="0" applyAlignment="0" applyProtection="0"/>
    <xf numFmtId="0" fontId="9" fillId="62" borderId="209" applyNumberFormat="0" applyFont="0" applyAlignment="0" applyProtection="0"/>
    <xf numFmtId="0" fontId="81" fillId="59" borderId="196" applyNumberFormat="0" applyAlignment="0" applyProtection="0"/>
    <xf numFmtId="0" fontId="12" fillId="0" borderId="194">
      <alignment horizontal="left" vertical="center"/>
    </xf>
    <xf numFmtId="0" fontId="81" fillId="59" borderId="183" applyNumberFormat="0" applyAlignment="0" applyProtection="0"/>
    <xf numFmtId="0" fontId="11" fillId="62" borderId="184" applyNumberFormat="0" applyFont="0" applyAlignment="0" applyProtection="0"/>
    <xf numFmtId="0" fontId="90" fillId="59" borderId="185" applyNumberFormat="0" applyAlignment="0" applyProtection="0"/>
    <xf numFmtId="0" fontId="9" fillId="62" borderId="184" applyNumberFormat="0" applyFont="0" applyAlignment="0" applyProtection="0"/>
    <xf numFmtId="0" fontId="87" fillId="46" borderId="183" applyNumberFormat="0" applyAlignment="0" applyProtection="0"/>
    <xf numFmtId="0" fontId="87" fillId="46" borderId="196" applyNumberFormat="0" applyAlignment="0" applyProtection="0"/>
    <xf numFmtId="0" fontId="64" fillId="59" borderId="183" applyNumberFormat="0" applyAlignment="0" applyProtection="0"/>
    <xf numFmtId="0" fontId="87" fillId="46" borderId="183" applyNumberFormat="0" applyAlignment="0" applyProtection="0"/>
    <xf numFmtId="0" fontId="87" fillId="46" borderId="183" applyNumberFormat="0" applyAlignment="0" applyProtection="0"/>
    <xf numFmtId="0" fontId="71" fillId="46"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11" fillId="62" borderId="184" applyNumberFormat="0" applyFont="0" applyAlignment="0" applyProtection="0"/>
    <xf numFmtId="0" fontId="74" fillId="59" borderId="185" applyNumberFormat="0" applyAlignment="0" applyProtection="0"/>
    <xf numFmtId="0" fontId="9" fillId="62" borderId="197" applyNumberFormat="0" applyFont="0" applyAlignment="0" applyProtection="0"/>
    <xf numFmtId="0" fontId="76" fillId="0" borderId="186" applyNumberFormat="0" applyFill="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1" fillId="59" borderId="183" applyNumberFormat="0" applyAlignment="0" applyProtection="0"/>
    <xf numFmtId="0" fontId="12" fillId="0" borderId="187">
      <alignment horizontal="left" vertical="center"/>
    </xf>
    <xf numFmtId="0" fontId="81" fillId="59" borderId="183" applyNumberFormat="0" applyAlignment="0" applyProtection="0"/>
    <xf numFmtId="0" fontId="81" fillId="59" borderId="183" applyNumberFormat="0" applyAlignment="0" applyProtection="0"/>
    <xf numFmtId="0" fontId="9" fillId="62" borderId="184" applyNumberFormat="0" applyFont="0" applyAlignment="0" applyProtection="0"/>
    <xf numFmtId="0" fontId="87" fillId="46" borderId="183" applyNumberFormat="0" applyAlignment="0" applyProtection="0"/>
    <xf numFmtId="0" fontId="90" fillId="59" borderId="198"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7" fillId="46" borderId="183" applyNumberFormat="0" applyAlignment="0" applyProtection="0"/>
    <xf numFmtId="0" fontId="81" fillId="59" borderId="183" applyNumberFormat="0" applyAlignment="0" applyProtection="0"/>
    <xf numFmtId="0" fontId="76" fillId="0" borderId="186" applyNumberFormat="0" applyFill="0" applyAlignment="0" applyProtection="0"/>
    <xf numFmtId="0" fontId="74" fillId="59" borderId="185" applyNumberFormat="0" applyAlignment="0" applyProtection="0"/>
    <xf numFmtId="0" fontId="71" fillId="46" borderId="183" applyNumberFormat="0" applyAlignment="0" applyProtection="0"/>
    <xf numFmtId="0" fontId="64" fillId="59" borderId="183" applyNumberFormat="0" applyAlignment="0" applyProtection="0"/>
    <xf numFmtId="0" fontId="81" fillId="59" borderId="183" applyNumberFormat="0" applyAlignment="0" applyProtection="0"/>
    <xf numFmtId="0" fontId="87" fillId="46" borderId="183" applyNumberFormat="0" applyAlignment="0" applyProtection="0"/>
    <xf numFmtId="0" fontId="81" fillId="59" borderId="183" applyNumberFormat="0" applyAlignment="0" applyProtection="0"/>
    <xf numFmtId="0" fontId="87" fillId="46" borderId="196" applyNumberFormat="0" applyAlignment="0" applyProtection="0"/>
    <xf numFmtId="0" fontId="90" fillId="59" borderId="198" applyNumberFormat="0" applyAlignment="0" applyProtection="0"/>
    <xf numFmtId="0" fontId="81" fillId="59" borderId="196"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76" fillId="0" borderId="186" applyNumberFormat="0" applyFill="0" applyAlignment="0" applyProtection="0"/>
    <xf numFmtId="0" fontId="11" fillId="62" borderId="184" applyNumberFormat="0" applyFont="0" applyAlignment="0" applyProtection="0"/>
    <xf numFmtId="0" fontId="71" fillId="46" borderId="183" applyNumberFormat="0" applyAlignment="0" applyProtection="0"/>
    <xf numFmtId="0" fontId="64" fillId="59" borderId="183" applyNumberFormat="0" applyAlignment="0" applyProtection="0"/>
    <xf numFmtId="0" fontId="74" fillId="59" borderId="185" applyNumberFormat="0" applyAlignment="0" applyProtection="0"/>
    <xf numFmtId="0" fontId="11" fillId="62" borderId="184" applyNumberFormat="0" applyFont="0" applyAlignment="0" applyProtection="0"/>
    <xf numFmtId="0" fontId="74" fillId="59" borderId="185" applyNumberFormat="0" applyAlignment="0" applyProtection="0"/>
    <xf numFmtId="0" fontId="81" fillId="59" borderId="183"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11" fillId="62" borderId="184" applyNumberFormat="0" applyFon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12" fillId="0" borderId="187">
      <alignment horizontal="left" vertical="center"/>
    </xf>
    <xf numFmtId="0" fontId="12" fillId="0" borderId="187">
      <alignment horizontal="left" vertical="center"/>
    </xf>
    <xf numFmtId="0" fontId="81" fillId="59" borderId="183" applyNumberFormat="0" applyAlignment="0" applyProtection="0"/>
    <xf numFmtId="0" fontId="81" fillId="59" borderId="183" applyNumberFormat="0" applyAlignment="0" applyProtection="0"/>
    <xf numFmtId="0" fontId="81" fillId="59" borderId="202" applyNumberFormat="0" applyAlignment="0" applyProtection="0"/>
    <xf numFmtId="0" fontId="12" fillId="0" borderId="200">
      <alignment horizontal="left" vertical="center"/>
    </xf>
    <xf numFmtId="0" fontId="9" fillId="62" borderId="197" applyNumberFormat="0" applyFont="0" applyAlignment="0" applyProtection="0"/>
    <xf numFmtId="0" fontId="12" fillId="0" borderId="200">
      <alignment horizontal="left" vertical="center"/>
    </xf>
    <xf numFmtId="0" fontId="87" fillId="46" borderId="196"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90" fillId="59" borderId="198"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12" fillId="0" borderId="200">
      <alignment horizontal="left" vertical="center"/>
    </xf>
    <xf numFmtId="0" fontId="9" fillId="62" borderId="197"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0" fillId="59" borderId="185" applyNumberFormat="0" applyAlignment="0" applyProtection="0"/>
    <xf numFmtId="0" fontId="81" fillId="59" borderId="183" applyNumberFormat="0" applyAlignment="0" applyProtection="0"/>
    <xf numFmtId="0" fontId="81" fillId="59" borderId="183" applyNumberFormat="0" applyAlignment="0" applyProtection="0"/>
    <xf numFmtId="0" fontId="71" fillId="46" borderId="183" applyNumberFormat="0" applyAlignment="0" applyProtection="0"/>
    <xf numFmtId="0" fontId="90" fillId="59" borderId="185" applyNumberFormat="0" applyAlignment="0" applyProtection="0"/>
    <xf numFmtId="0" fontId="81" fillId="59" borderId="183" applyNumberFormat="0" applyAlignment="0" applyProtection="0"/>
    <xf numFmtId="0" fontId="81" fillId="59" borderId="183" applyNumberFormat="0" applyAlignment="0" applyProtection="0"/>
    <xf numFmtId="0" fontId="90" fillId="59" borderId="185" applyNumberFormat="0" applyAlignment="0" applyProtection="0"/>
    <xf numFmtId="0" fontId="9" fillId="62" borderId="184" applyNumberFormat="0" applyFont="0" applyAlignment="0" applyProtection="0"/>
    <xf numFmtId="0" fontId="64" fillId="59" borderId="183" applyNumberFormat="0" applyAlignment="0" applyProtection="0"/>
    <xf numFmtId="0" fontId="71" fillId="46" borderId="183" applyNumberFormat="0" applyAlignment="0" applyProtection="0"/>
    <xf numFmtId="0" fontId="12" fillId="0" borderId="200">
      <alignment horizontal="left" vertical="center"/>
    </xf>
    <xf numFmtId="0" fontId="9" fillId="62" borderId="197" applyNumberFormat="0" applyFont="0" applyAlignment="0" applyProtection="0"/>
    <xf numFmtId="0" fontId="74" fillId="59" borderId="198" applyNumberFormat="0" applyAlignment="0" applyProtection="0"/>
    <xf numFmtId="0" fontId="87" fillId="46" borderId="196" applyNumberFormat="0" applyAlignment="0" applyProtection="0"/>
    <xf numFmtId="0" fontId="81" fillId="59" borderId="196" applyNumberFormat="0" applyAlignment="0" applyProtection="0"/>
    <xf numFmtId="0" fontId="12" fillId="0" borderId="200">
      <alignment horizontal="left" vertical="center"/>
    </xf>
    <xf numFmtId="0" fontId="87" fillId="46" borderId="196" applyNumberFormat="0" applyAlignment="0" applyProtection="0"/>
    <xf numFmtId="0" fontId="81" fillId="59" borderId="183" applyNumberFormat="0" applyAlignment="0" applyProtection="0"/>
    <xf numFmtId="0" fontId="11" fillId="62" borderId="184" applyNumberFormat="0" applyFont="0" applyAlignment="0" applyProtection="0"/>
    <xf numFmtId="0" fontId="74" fillId="59" borderId="185" applyNumberFormat="0" applyAlignment="0" applyProtection="0"/>
    <xf numFmtId="0" fontId="76" fillId="0" borderId="186" applyNumberFormat="0" applyFill="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96" applyNumberFormat="0" applyAlignment="0" applyProtection="0"/>
    <xf numFmtId="0" fontId="81" fillId="59" borderId="196" applyNumberFormat="0" applyAlignment="0" applyProtection="0"/>
    <xf numFmtId="0" fontId="11" fillId="62" borderId="197" applyNumberFormat="0" applyFont="0" applyAlignment="0" applyProtection="0"/>
    <xf numFmtId="0" fontId="9" fillId="62" borderId="197" applyNumberFormat="0" applyFont="0" applyAlignment="0" applyProtection="0"/>
    <xf numFmtId="0" fontId="9" fillId="62" borderId="197" applyNumberFormat="0" applyFon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9" fillId="62" borderId="184" applyNumberFormat="0" applyFont="0" applyAlignment="0" applyProtection="0"/>
    <xf numFmtId="0" fontId="9" fillId="62" borderId="184" applyNumberFormat="0" applyFont="0" applyAlignment="0" applyProtection="0"/>
    <xf numFmtId="0" fontId="81" fillId="59"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90" fillId="59" borderId="192" applyNumberFormat="0" applyAlignment="0" applyProtection="0"/>
    <xf numFmtId="0" fontId="90" fillId="59" borderId="192" applyNumberFormat="0" applyAlignment="0" applyProtection="0"/>
    <xf numFmtId="0" fontId="90" fillId="59" borderId="192" applyNumberFormat="0" applyAlignment="0" applyProtection="0"/>
    <xf numFmtId="0" fontId="90" fillId="59" borderId="192" applyNumberFormat="0" applyAlignment="0" applyProtection="0"/>
    <xf numFmtId="0" fontId="9" fillId="62" borderId="191" applyNumberFormat="0" applyFont="0" applyAlignment="0" applyProtection="0"/>
    <xf numFmtId="0" fontId="9" fillId="62" borderId="191" applyNumberFormat="0" applyFont="0" applyAlignment="0" applyProtection="0"/>
    <xf numFmtId="0" fontId="9" fillId="62" borderId="191" applyNumberFormat="0" applyFont="0" applyAlignment="0" applyProtection="0"/>
    <xf numFmtId="0" fontId="71" fillId="46" borderId="196" applyNumberFormat="0" applyAlignment="0" applyProtection="0"/>
    <xf numFmtId="0" fontId="87" fillId="46" borderId="183" applyNumberFormat="0" applyAlignment="0" applyProtection="0"/>
    <xf numFmtId="0" fontId="9" fillId="62" borderId="184" applyNumberFormat="0" applyFont="0" applyAlignment="0" applyProtection="0"/>
    <xf numFmtId="0" fontId="81" fillId="59" borderId="183" applyNumberFormat="0" applyAlignment="0" applyProtection="0"/>
    <xf numFmtId="0" fontId="90" fillId="59" borderId="185" applyNumberFormat="0" applyAlignment="0" applyProtection="0"/>
    <xf numFmtId="0" fontId="81" fillId="59" borderId="196" applyNumberFormat="0" applyAlignment="0" applyProtection="0"/>
    <xf numFmtId="0" fontId="90" fillId="59" borderId="185" applyNumberFormat="0" applyAlignment="0" applyProtection="0"/>
    <xf numFmtId="0" fontId="87" fillId="46" borderId="183" applyNumberFormat="0" applyAlignment="0" applyProtection="0"/>
    <xf numFmtId="0" fontId="87" fillId="46" borderId="196" applyNumberFormat="0" applyAlignment="0" applyProtection="0"/>
    <xf numFmtId="0" fontId="64" fillId="59" borderId="183" applyNumberFormat="0" applyAlignment="0" applyProtection="0"/>
    <xf numFmtId="0" fontId="71" fillId="46" borderId="183" applyNumberFormat="0" applyAlignment="0" applyProtection="0"/>
    <xf numFmtId="0" fontId="74" fillId="59" borderId="185" applyNumberFormat="0" applyAlignment="0" applyProtection="0"/>
    <xf numFmtId="0" fontId="76" fillId="0" borderId="186" applyNumberFormat="0" applyFill="0" applyAlignment="0" applyProtection="0"/>
    <xf numFmtId="0" fontId="81" fillId="59" borderId="183" applyNumberFormat="0" applyAlignment="0" applyProtection="0"/>
    <xf numFmtId="0" fontId="87" fillId="46" borderId="189"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96" applyNumberFormat="0" applyAlignment="0" applyProtection="0"/>
    <xf numFmtId="0" fontId="90" fillId="59" borderId="198" applyNumberFormat="0" applyAlignment="0" applyProtection="0"/>
    <xf numFmtId="0" fontId="9" fillId="62" borderId="197" applyNumberFormat="0" applyFont="0" applyAlignment="0" applyProtection="0"/>
    <xf numFmtId="0" fontId="12" fillId="0" borderId="200">
      <alignment horizontal="left" vertical="center"/>
    </xf>
    <xf numFmtId="0" fontId="87" fillId="46" borderId="196" applyNumberFormat="0" applyAlignment="0" applyProtection="0"/>
    <xf numFmtId="0" fontId="87" fillId="46" borderId="196" applyNumberFormat="0" applyAlignment="0" applyProtection="0"/>
    <xf numFmtId="0" fontId="81" fillId="59" borderId="196" applyNumberFormat="0" applyAlignment="0" applyProtection="0"/>
    <xf numFmtId="0" fontId="9" fillId="62" borderId="197" applyNumberFormat="0" applyFont="0" applyAlignment="0" applyProtection="0"/>
    <xf numFmtId="0" fontId="12" fillId="0" borderId="187">
      <alignment horizontal="left" vertical="center"/>
    </xf>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7" fillId="46" borderId="214" applyNumberFormat="0" applyAlignment="0" applyProtection="0"/>
    <xf numFmtId="0" fontId="81" fillId="59" borderId="183" applyNumberFormat="0" applyAlignment="0" applyProtection="0"/>
    <xf numFmtId="0" fontId="81" fillId="59" borderId="208" applyNumberFormat="0" applyAlignment="0" applyProtection="0"/>
    <xf numFmtId="0" fontId="12" fillId="0" borderId="223">
      <alignment horizontal="left" vertical="center"/>
    </xf>
    <xf numFmtId="0" fontId="81" fillId="59" borderId="214" applyNumberFormat="0" applyAlignment="0" applyProtection="0"/>
    <xf numFmtId="0" fontId="81" fillId="59" borderId="183" applyNumberFormat="0" applyAlignment="0" applyProtection="0"/>
    <xf numFmtId="0" fontId="74" fillId="59" borderId="185" applyNumberFormat="0" applyAlignment="0" applyProtection="0"/>
    <xf numFmtId="0" fontId="11" fillId="62" borderId="184" applyNumberFormat="0" applyFont="0" applyAlignment="0" applyProtection="0"/>
    <xf numFmtId="0" fontId="71" fillId="46" borderId="183" applyNumberFormat="0" applyAlignment="0" applyProtection="0"/>
    <xf numFmtId="0" fontId="9" fillId="62" borderId="184" applyNumberFormat="0" applyFont="0" applyAlignment="0" applyProtection="0"/>
    <xf numFmtId="0" fontId="81" fillId="59" borderId="183" applyNumberFormat="0" applyAlignment="0" applyProtection="0"/>
    <xf numFmtId="0" fontId="87" fillId="46" borderId="183" applyNumberFormat="0" applyAlignment="0" applyProtection="0"/>
    <xf numFmtId="0" fontId="64" fillId="59" borderId="183" applyNumberFormat="0" applyAlignment="0" applyProtection="0"/>
    <xf numFmtId="0" fontId="81" fillId="59" borderId="196" applyNumberFormat="0" applyAlignment="0" applyProtection="0"/>
    <xf numFmtId="0" fontId="87" fillId="46" borderId="183" applyNumberFormat="0" applyAlignment="0" applyProtection="0"/>
    <xf numFmtId="0" fontId="81" fillId="59" borderId="183" applyNumberFormat="0" applyAlignment="0" applyProtection="0"/>
    <xf numFmtId="0" fontId="81" fillId="59" borderId="183" applyNumberFormat="0" applyAlignment="0" applyProtection="0"/>
    <xf numFmtId="0" fontId="87" fillId="46" borderId="183" applyNumberFormat="0" applyAlignment="0" applyProtection="0"/>
    <xf numFmtId="0" fontId="81" fillId="59" borderId="183" applyNumberFormat="0" applyAlignment="0" applyProtection="0"/>
    <xf numFmtId="0" fontId="9" fillId="62" borderId="184" applyNumberFormat="0" applyFont="0" applyAlignment="0" applyProtection="0"/>
    <xf numFmtId="0" fontId="74" fillId="59" borderId="185" applyNumberFormat="0" applyAlignment="0" applyProtection="0"/>
    <xf numFmtId="0" fontId="81" fillId="59" borderId="183" applyNumberFormat="0" applyAlignment="0" applyProtection="0"/>
    <xf numFmtId="0" fontId="81" fillId="59" borderId="183" applyNumberFormat="0" applyAlignment="0" applyProtection="0"/>
    <xf numFmtId="0" fontId="85" fillId="0" borderId="190" applyNumberFormat="0" applyFill="0" applyAlignment="0" applyProtection="0"/>
    <xf numFmtId="0" fontId="85" fillId="0" borderId="190" applyNumberFormat="0" applyFill="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7" fillId="46" borderId="183" applyNumberFormat="0" applyAlignment="0" applyProtection="0"/>
    <xf numFmtId="0" fontId="64" fillId="59" borderId="196" applyNumberFormat="0" applyAlignment="0" applyProtection="0"/>
    <xf numFmtId="0" fontId="81" fillId="59" borderId="214" applyNumberFormat="0" applyAlignment="0" applyProtection="0"/>
    <xf numFmtId="0" fontId="9" fillId="62" borderId="197" applyNumberFormat="0" applyFont="0" applyAlignment="0" applyProtection="0"/>
    <xf numFmtId="0" fontId="12" fillId="0" borderId="218">
      <alignment horizontal="left" vertical="center"/>
    </xf>
    <xf numFmtId="0" fontId="11" fillId="62" borderId="184" applyNumberFormat="0" applyFont="0" applyAlignment="0" applyProtection="0"/>
    <xf numFmtId="0" fontId="12" fillId="0" borderId="187">
      <alignment horizontal="left" vertical="center"/>
    </xf>
    <xf numFmtId="0" fontId="9" fillId="62" borderId="197" applyNumberFormat="0" applyFont="0" applyAlignment="0" applyProtection="0"/>
    <xf numFmtId="0" fontId="12" fillId="0" borderId="194">
      <alignment horizontal="left" vertical="center"/>
    </xf>
    <xf numFmtId="0" fontId="81" fillId="59" borderId="183" applyNumberFormat="0" applyAlignment="0" applyProtection="0"/>
    <xf numFmtId="0" fontId="64" fillId="59" borderId="183" applyNumberFormat="0" applyAlignment="0" applyProtection="0"/>
    <xf numFmtId="0" fontId="87" fillId="46" borderId="183" applyNumberFormat="0" applyAlignment="0" applyProtection="0"/>
    <xf numFmtId="0" fontId="71" fillId="46" borderId="183" applyNumberFormat="0" applyAlignment="0" applyProtection="0"/>
    <xf numFmtId="0" fontId="81" fillId="59" borderId="183" applyNumberFormat="0" applyAlignment="0" applyProtection="0"/>
    <xf numFmtId="0" fontId="11" fillId="62" borderId="184" applyNumberFormat="0" applyFont="0" applyAlignment="0" applyProtection="0"/>
    <xf numFmtId="0" fontId="74" fillId="59" borderId="185" applyNumberFormat="0" applyAlignment="0" applyProtection="0"/>
    <xf numFmtId="0" fontId="76" fillId="0" borderId="186" applyNumberFormat="0" applyFill="0" applyAlignment="0" applyProtection="0"/>
    <xf numFmtId="0" fontId="9" fillId="62" borderId="184" applyNumberFormat="0" applyFont="0" applyAlignment="0" applyProtection="0"/>
    <xf numFmtId="0" fontId="81" fillId="59" borderId="183" applyNumberFormat="0" applyAlignment="0" applyProtection="0"/>
    <xf numFmtId="0" fontId="9" fillId="62" borderId="184" applyNumberFormat="0" applyFont="0" applyAlignment="0" applyProtection="0"/>
    <xf numFmtId="0" fontId="90" fillId="59" borderId="198"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12" fillId="0" borderId="200">
      <alignment horizontal="left" vertical="center"/>
    </xf>
    <xf numFmtId="0" fontId="9" fillId="62" borderId="197" applyNumberFormat="0" applyFont="0" applyAlignment="0" applyProtection="0"/>
    <xf numFmtId="0" fontId="64" fillId="59" borderId="183" applyNumberFormat="0" applyAlignment="0" applyProtection="0"/>
    <xf numFmtId="0" fontId="9" fillId="62" borderId="184" applyNumberFormat="0" applyFont="0" applyAlignment="0" applyProtection="0"/>
    <xf numFmtId="0" fontId="81" fillId="59" borderId="183" applyNumberFormat="0" applyAlignment="0" applyProtection="0"/>
    <xf numFmtId="0" fontId="81" fillId="59" borderId="183" applyNumberFormat="0" applyAlignment="0" applyProtection="0"/>
    <xf numFmtId="0" fontId="81" fillId="59" borderId="196" applyNumberFormat="0" applyAlignment="0" applyProtection="0"/>
    <xf numFmtId="0" fontId="81" fillId="59" borderId="202" applyNumberFormat="0" applyAlignment="0" applyProtection="0"/>
    <xf numFmtId="0" fontId="90" fillId="59" borderId="198" applyNumberFormat="0" applyAlignment="0" applyProtection="0"/>
    <xf numFmtId="0" fontId="9" fillId="62" borderId="197" applyNumberFormat="0" applyFont="0" applyAlignment="0" applyProtection="0"/>
    <xf numFmtId="0" fontId="90" fillId="59" borderId="198" applyNumberFormat="0" applyAlignment="0" applyProtection="0"/>
    <xf numFmtId="0" fontId="87" fillId="46" borderId="196" applyNumberFormat="0" applyAlignment="0" applyProtection="0"/>
    <xf numFmtId="0" fontId="12" fillId="0" borderId="206">
      <alignment horizontal="left" vertical="center"/>
    </xf>
    <xf numFmtId="0" fontId="81" fillId="59" borderId="196" applyNumberFormat="0" applyAlignment="0" applyProtection="0"/>
    <xf numFmtId="0" fontId="90" fillId="59" borderId="198" applyNumberFormat="0" applyAlignment="0" applyProtection="0"/>
    <xf numFmtId="0" fontId="81" fillId="59" borderId="202"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90" fillId="59" borderId="185" applyNumberFormat="0" applyAlignment="0" applyProtection="0"/>
    <xf numFmtId="0" fontId="11" fillId="62" borderId="184" applyNumberFormat="0" applyFont="0" applyAlignment="0" applyProtection="0"/>
    <xf numFmtId="0" fontId="81" fillId="59" borderId="183" applyNumberFormat="0" applyAlignment="0" applyProtection="0"/>
    <xf numFmtId="0" fontId="87" fillId="46" borderId="189" applyNumberFormat="0" applyAlignment="0" applyProtection="0"/>
    <xf numFmtId="0" fontId="81" fillId="59" borderId="183" applyNumberForma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81" fillId="59" borderId="208" applyNumberFormat="0" applyAlignment="0" applyProtection="0"/>
    <xf numFmtId="0" fontId="81" fillId="59" borderId="208" applyNumberFormat="0" applyAlignment="0" applyProtection="0"/>
    <xf numFmtId="0" fontId="85" fillId="0" borderId="190" applyNumberFormat="0" applyFill="0" applyAlignment="0" applyProtection="0"/>
    <xf numFmtId="0" fontId="85" fillId="0" borderId="190" applyNumberFormat="0" applyFill="0" applyAlignment="0" applyProtection="0"/>
    <xf numFmtId="0" fontId="81" fillId="59" borderId="183" applyNumberFormat="0" applyAlignment="0" applyProtection="0"/>
    <xf numFmtId="0" fontId="74" fillId="59" borderId="198" applyNumberFormat="0" applyAlignment="0" applyProtection="0"/>
    <xf numFmtId="0" fontId="81" fillId="59" borderId="214" applyNumberFormat="0" applyAlignment="0" applyProtection="0"/>
    <xf numFmtId="0" fontId="9" fillId="62" borderId="197" applyNumberFormat="0" applyFont="0" applyAlignment="0" applyProtection="0"/>
    <xf numFmtId="0" fontId="90" fillId="59" borderId="210" applyNumberFormat="0" applyAlignment="0" applyProtection="0"/>
    <xf numFmtId="0" fontId="85" fillId="0" borderId="190" applyNumberFormat="0" applyFill="0" applyAlignment="0" applyProtection="0"/>
    <xf numFmtId="0" fontId="12" fillId="0" borderId="194">
      <alignment horizontal="left" vertical="center"/>
    </xf>
    <xf numFmtId="0" fontId="12" fillId="0" borderId="194">
      <alignment horizontal="left" vertical="center"/>
    </xf>
    <xf numFmtId="0" fontId="74" fillId="59" borderId="198" applyNumberFormat="0" applyAlignment="0" applyProtection="0"/>
    <xf numFmtId="0" fontId="90" fillId="59" borderId="198" applyNumberFormat="0" applyAlignment="0" applyProtection="0"/>
    <xf numFmtId="0" fontId="9" fillId="62" borderId="197" applyNumberFormat="0" applyFont="0" applyAlignment="0" applyProtection="0"/>
    <xf numFmtId="0" fontId="87" fillId="46" borderId="196" applyNumberFormat="0" applyAlignment="0" applyProtection="0"/>
    <xf numFmtId="10" fontId="11" fillId="3" borderId="201" applyNumberFormat="0" applyBorder="0" applyAlignment="0" applyProtection="0"/>
    <xf numFmtId="0" fontId="76" fillId="0" borderId="199" applyNumberFormat="0" applyFill="0" applyAlignment="0" applyProtection="0"/>
    <xf numFmtId="0" fontId="9" fillId="62" borderId="197" applyNumberFormat="0" applyFont="0" applyAlignment="0" applyProtection="0"/>
    <xf numFmtId="0" fontId="81" fillId="59" borderId="183" applyNumberFormat="0" applyAlignment="0" applyProtection="0"/>
    <xf numFmtId="0" fontId="81" fillId="59" borderId="183" applyNumberFormat="0" applyAlignment="0" applyProtection="0"/>
    <xf numFmtId="0" fontId="90" fillId="59" borderId="198" applyNumberFormat="0" applyAlignment="0" applyProtection="0"/>
    <xf numFmtId="0" fontId="81" fillId="59" borderId="183" applyNumberFormat="0" applyAlignment="0" applyProtection="0"/>
    <xf numFmtId="0" fontId="90" fillId="59" borderId="185" applyNumberFormat="0" applyAlignment="0" applyProtection="0"/>
    <xf numFmtId="0" fontId="81" fillId="59" borderId="183" applyNumberFormat="0" applyAlignment="0" applyProtection="0"/>
    <xf numFmtId="0" fontId="87" fillId="46" borderId="183" applyNumberFormat="0" applyAlignment="0" applyProtection="0"/>
    <xf numFmtId="0" fontId="12" fillId="0" borderId="187">
      <alignment horizontal="left" vertical="center"/>
    </xf>
    <xf numFmtId="0" fontId="87" fillId="46" borderId="183" applyNumberFormat="0" applyAlignment="0" applyProtection="0"/>
    <xf numFmtId="0" fontId="90" fillId="59" borderId="185" applyNumberFormat="0" applyAlignment="0" applyProtection="0"/>
    <xf numFmtId="0" fontId="74" fillId="59" borderId="185" applyNumberFormat="0" applyAlignment="0" applyProtection="0"/>
    <xf numFmtId="0" fontId="81" fillId="59" borderId="183" applyNumberFormat="0" applyAlignment="0" applyProtection="0"/>
    <xf numFmtId="0" fontId="81" fillId="59" borderId="196"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7" fillId="46" borderId="183" applyNumberFormat="0" applyAlignment="0" applyProtection="0"/>
    <xf numFmtId="0" fontId="87" fillId="46" borderId="183" applyNumberFormat="0" applyAlignment="0" applyProtection="0"/>
    <xf numFmtId="0" fontId="9" fillId="62" borderId="184" applyNumberFormat="0" applyFon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12" fillId="0" borderId="187">
      <alignment horizontal="left" vertical="center"/>
    </xf>
    <xf numFmtId="0" fontId="81" fillId="59" borderId="183" applyNumberFormat="0" applyAlignment="0" applyProtection="0"/>
    <xf numFmtId="0" fontId="64" fillId="59" borderId="183" applyNumberFormat="0" applyAlignment="0" applyProtection="0"/>
    <xf numFmtId="0" fontId="71" fillId="46" borderId="183" applyNumberFormat="0" applyAlignment="0" applyProtection="0"/>
    <xf numFmtId="0" fontId="11" fillId="62" borderId="184" applyNumberFormat="0" applyFont="0" applyAlignment="0" applyProtection="0"/>
    <xf numFmtId="0" fontId="74" fillId="59" borderId="185" applyNumberFormat="0" applyAlignment="0" applyProtection="0"/>
    <xf numFmtId="0" fontId="76" fillId="0" borderId="186" applyNumberFormat="0" applyFill="0" applyAlignment="0" applyProtection="0"/>
    <xf numFmtId="0" fontId="81" fillId="59" borderId="183" applyNumberFormat="0" applyAlignment="0" applyProtection="0"/>
    <xf numFmtId="0" fontId="12" fillId="0" borderId="187">
      <alignment horizontal="left" vertical="center"/>
    </xf>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12" fillId="0" borderId="187">
      <alignment horizontal="left" vertical="center"/>
    </xf>
    <xf numFmtId="0" fontId="90" fillId="59" borderId="198" applyNumberFormat="0" applyAlignment="0" applyProtection="0"/>
    <xf numFmtId="0" fontId="9" fillId="62" borderId="197" applyNumberFormat="0" applyFont="0" applyAlignment="0" applyProtection="0"/>
    <xf numFmtId="0" fontId="9" fillId="62" borderId="197" applyNumberFormat="0" applyFont="0" applyAlignment="0" applyProtection="0"/>
    <xf numFmtId="0" fontId="87" fillId="46" borderId="196" applyNumberFormat="0" applyAlignment="0" applyProtection="0"/>
    <xf numFmtId="0" fontId="81" fillId="59" borderId="196" applyNumberFormat="0" applyAlignment="0" applyProtection="0"/>
    <xf numFmtId="0" fontId="81" fillId="59" borderId="196" applyNumberFormat="0" applyAlignment="0" applyProtection="0"/>
    <xf numFmtId="0" fontId="71" fillId="46" borderId="202" applyNumberFormat="0" applyAlignment="0" applyProtection="0"/>
    <xf numFmtId="0" fontId="9" fillId="62" borderId="197" applyNumberFormat="0" applyFon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12" fillId="0" borderId="200">
      <alignment horizontal="left" vertical="center"/>
    </xf>
    <xf numFmtId="0" fontId="12" fillId="0" borderId="200">
      <alignment horizontal="left" vertical="center"/>
    </xf>
    <xf numFmtId="0" fontId="71" fillId="46" borderId="183" applyNumberFormat="0" applyAlignment="0" applyProtection="0"/>
    <xf numFmtId="0" fontId="81" fillId="59" borderId="183" applyNumberForma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98" applyNumberFormat="0" applyAlignment="0" applyProtection="0"/>
    <xf numFmtId="0" fontId="90" fillId="59" borderId="185" applyNumberFormat="0" applyAlignment="0" applyProtection="0"/>
    <xf numFmtId="0" fontId="81" fillId="59" borderId="183" applyNumberFormat="0" applyAlignment="0" applyProtection="0"/>
    <xf numFmtId="0" fontId="81" fillId="59" borderId="183" applyNumberFormat="0" applyAlignment="0" applyProtection="0"/>
    <xf numFmtId="0" fontId="76" fillId="0" borderId="186" applyNumberFormat="0" applyFill="0" applyAlignment="0" applyProtection="0"/>
    <xf numFmtId="0" fontId="90" fillId="59" borderId="185"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64" fillId="59" borderId="183" applyNumberFormat="0" applyAlignment="0" applyProtection="0"/>
    <xf numFmtId="0" fontId="81" fillId="59" borderId="183" applyNumberForma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81" fillId="59" borderId="183" applyNumberFormat="0" applyAlignment="0" applyProtection="0"/>
    <xf numFmtId="0" fontId="90" fillId="59" borderId="185" applyNumberFormat="0" applyAlignment="0" applyProtection="0"/>
    <xf numFmtId="0" fontId="12" fillId="0" borderId="200">
      <alignment horizontal="left" vertical="center"/>
    </xf>
    <xf numFmtId="0" fontId="90" fillId="59" borderId="185" applyNumberFormat="0" applyAlignment="0" applyProtection="0"/>
    <xf numFmtId="0" fontId="90" fillId="59" borderId="185"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76" fillId="0" borderId="186" applyNumberFormat="0" applyFill="0" applyAlignment="0" applyProtection="0"/>
    <xf numFmtId="0" fontId="71" fillId="46" borderId="183" applyNumberFormat="0" applyAlignment="0" applyProtection="0"/>
    <xf numFmtId="0" fontId="64" fillId="59" borderId="183" applyNumberForma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0" fillId="59" borderId="185" applyNumberForma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81" fillId="59" borderId="183" applyNumberFormat="0" applyAlignment="0" applyProtection="0"/>
    <xf numFmtId="0" fontId="90" fillId="59" borderId="185" applyNumberFormat="0" applyAlignment="0" applyProtection="0"/>
    <xf numFmtId="0" fontId="90" fillId="59" borderId="185" applyNumberFormat="0" applyAlignment="0" applyProtection="0"/>
    <xf numFmtId="0" fontId="81" fillId="59"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64"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87" fillId="46" borderId="183" applyNumberFormat="0" applyAlignment="0" applyProtection="0"/>
    <xf numFmtId="0" fontId="76" fillId="0" borderId="186" applyNumberFormat="0" applyFill="0" applyAlignment="0" applyProtection="0"/>
    <xf numFmtId="0" fontId="11" fillId="62" borderId="184" applyNumberFormat="0" applyFont="0" applyAlignment="0" applyProtection="0"/>
    <xf numFmtId="0" fontId="81" fillId="59" borderId="183" applyNumberFormat="0" applyAlignment="0" applyProtection="0"/>
    <xf numFmtId="0" fontId="76" fillId="0" borderId="186" applyNumberFormat="0" applyFill="0" applyAlignment="0" applyProtection="0"/>
    <xf numFmtId="0" fontId="74" fillId="59" borderId="185" applyNumberFormat="0" applyAlignment="0" applyProtection="0"/>
    <xf numFmtId="0" fontId="64" fillId="59" borderId="183" applyNumberFormat="0" applyAlignment="0" applyProtection="0"/>
    <xf numFmtId="0" fontId="71" fillId="46" borderId="183" applyNumberFormat="0" applyAlignment="0" applyProtection="0"/>
    <xf numFmtId="0" fontId="11" fillId="62" borderId="184" applyNumberFormat="0" applyFont="0" applyAlignment="0" applyProtection="0"/>
    <xf numFmtId="0" fontId="74" fillId="59" borderId="185" applyNumberFormat="0" applyAlignment="0" applyProtection="0"/>
    <xf numFmtId="0" fontId="76" fillId="0" borderId="186" applyNumberFormat="0" applyFill="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70" fillId="0" borderId="190" applyNumberFormat="0" applyFill="0" applyAlignment="0" applyProtection="0"/>
    <xf numFmtId="0" fontId="12" fillId="0" borderId="200">
      <alignment horizontal="left" vertical="center"/>
    </xf>
    <xf numFmtId="0" fontId="90" fillId="59" borderId="198" applyNumberFormat="0" applyAlignment="0" applyProtection="0"/>
    <xf numFmtId="0" fontId="87" fillId="46" borderId="196" applyNumberFormat="0" applyAlignment="0" applyProtection="0"/>
    <xf numFmtId="0" fontId="81" fillId="59" borderId="196" applyNumberFormat="0" applyAlignment="0" applyProtection="0"/>
    <xf numFmtId="0" fontId="12" fillId="0" borderId="200">
      <alignment horizontal="left" vertical="center"/>
    </xf>
    <xf numFmtId="0" fontId="87" fillId="46" borderId="196" applyNumberFormat="0" applyAlignment="0" applyProtection="0"/>
    <xf numFmtId="0" fontId="9" fillId="62" borderId="197" applyNumberFormat="0" applyFon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81" fillId="59" borderId="183" applyNumberFormat="0" applyAlignment="0" applyProtection="0"/>
    <xf numFmtId="0" fontId="71" fillId="46" borderId="183" applyNumberFormat="0" applyAlignment="0" applyProtection="0"/>
    <xf numFmtId="0" fontId="64" fillId="59" borderId="183" applyNumberFormat="0" applyAlignment="0" applyProtection="0"/>
    <xf numFmtId="0" fontId="71" fillId="46" borderId="183" applyNumberFormat="0" applyAlignment="0" applyProtection="0"/>
    <xf numFmtId="0" fontId="11" fillId="62" borderId="184" applyNumberFormat="0" applyFont="0" applyAlignment="0" applyProtection="0"/>
    <xf numFmtId="0" fontId="74" fillId="59" borderId="185" applyNumberFormat="0" applyAlignment="0" applyProtection="0"/>
    <xf numFmtId="0" fontId="76" fillId="0" borderId="186" applyNumberFormat="0" applyFill="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81" fillId="59" borderId="183" applyNumberFormat="0" applyAlignment="0" applyProtection="0"/>
    <xf numFmtId="0" fontId="12" fillId="0" borderId="200">
      <alignment horizontal="left" vertical="center"/>
    </xf>
    <xf numFmtId="0" fontId="12" fillId="0" borderId="200">
      <alignment horizontal="left" vertical="center"/>
    </xf>
    <xf numFmtId="0" fontId="90" fillId="59" borderId="198" applyNumberFormat="0" applyAlignment="0" applyProtection="0"/>
    <xf numFmtId="0" fontId="81" fillId="59" borderId="196" applyNumberFormat="0" applyAlignment="0" applyProtection="0"/>
    <xf numFmtId="0" fontId="87" fillId="46" borderId="196" applyNumberFormat="0" applyAlignment="0" applyProtection="0"/>
    <xf numFmtId="0" fontId="81" fillId="59" borderId="196" applyNumberFormat="0" applyAlignment="0" applyProtection="0"/>
    <xf numFmtId="0" fontId="12" fillId="0" borderId="200">
      <alignment horizontal="left" vertical="center"/>
    </xf>
    <xf numFmtId="0" fontId="87" fillId="46" borderId="196" applyNumberFormat="0" applyAlignment="0" applyProtection="0"/>
    <xf numFmtId="0" fontId="90" fillId="59" borderId="198"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87" fillId="46" borderId="183" applyNumberFormat="0" applyAlignment="0" applyProtection="0"/>
    <xf numFmtId="0" fontId="71" fillId="46" borderId="189" applyNumberFormat="0" applyAlignment="0" applyProtection="0"/>
    <xf numFmtId="0" fontId="81" fillId="59" borderId="196" applyNumberFormat="0" applyAlignment="0" applyProtection="0"/>
    <xf numFmtId="0" fontId="9" fillId="62" borderId="197" applyNumberFormat="0" applyFont="0" applyAlignment="0" applyProtection="0"/>
    <xf numFmtId="0" fontId="12" fillId="0" borderId="200">
      <alignment horizontal="left" vertical="center"/>
    </xf>
    <xf numFmtId="0" fontId="81" fillId="59" borderId="202" applyNumberFormat="0" applyAlignment="0" applyProtection="0"/>
    <xf numFmtId="0" fontId="81" fillId="59" borderId="196" applyNumberFormat="0" applyAlignment="0" applyProtection="0"/>
    <xf numFmtId="0" fontId="9" fillId="62" borderId="197" applyNumberFormat="0" applyFont="0" applyAlignment="0" applyProtection="0"/>
    <xf numFmtId="0" fontId="81" fillId="59" borderId="202"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87" fillId="46" borderId="183" applyNumberForma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 fillId="62" borderId="184" applyNumberFormat="0" applyFon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90" fillId="59" borderId="185"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64" fillId="59" borderId="177" applyNumberFormat="0" applyAlignment="0" applyProtection="0"/>
    <xf numFmtId="0" fontId="71" fillId="46" borderId="177" applyNumberFormat="0" applyAlignment="0" applyProtection="0"/>
    <xf numFmtId="0" fontId="11" fillId="62" borderId="179" applyNumberFormat="0" applyFont="0" applyAlignment="0" applyProtection="0"/>
    <xf numFmtId="0" fontId="74" fillId="59" borderId="180" applyNumberFormat="0" applyAlignment="0" applyProtection="0"/>
    <xf numFmtId="0" fontId="76" fillId="0" borderId="181" applyNumberFormat="0" applyFill="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10" fontId="11" fillId="3" borderId="207" applyNumberFormat="0" applyBorder="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81" fillId="59" borderId="177" applyNumberFormat="0" applyAlignment="0" applyProtection="0"/>
    <xf numFmtId="0" fontId="11" fillId="62" borderId="179" applyNumberFormat="0" applyFont="0" applyAlignment="0" applyProtection="0"/>
    <xf numFmtId="0" fontId="90" fillId="59" borderId="180" applyNumberFormat="0" applyAlignment="0" applyProtection="0"/>
    <xf numFmtId="0" fontId="9" fillId="62" borderId="179" applyNumberFormat="0" applyFont="0" applyAlignment="0" applyProtection="0"/>
    <xf numFmtId="0" fontId="87" fillId="46" borderId="177" applyNumberFormat="0" applyAlignment="0" applyProtection="0"/>
    <xf numFmtId="0" fontId="12" fillId="0" borderId="206">
      <alignment horizontal="left" vertical="center"/>
    </xf>
    <xf numFmtId="0" fontId="64" fillId="59" borderId="177" applyNumberFormat="0" applyAlignment="0" applyProtection="0"/>
    <xf numFmtId="0" fontId="87" fillId="46" borderId="177" applyNumberFormat="0" applyAlignment="0" applyProtection="0"/>
    <xf numFmtId="0" fontId="87" fillId="46" borderId="177" applyNumberFormat="0" applyAlignment="0" applyProtection="0"/>
    <xf numFmtId="0" fontId="71" fillId="46"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11" fillId="62" borderId="179" applyNumberFormat="0" applyFont="0" applyAlignment="0" applyProtection="0"/>
    <xf numFmtId="0" fontId="74" fillId="59" borderId="180" applyNumberFormat="0" applyAlignment="0" applyProtection="0"/>
    <xf numFmtId="10" fontId="11" fillId="3" borderId="207" applyNumberFormat="0" applyBorder="0" applyAlignment="0" applyProtection="0"/>
    <xf numFmtId="0" fontId="76" fillId="0" borderId="181" applyNumberFormat="0" applyFill="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9" fillId="62" borderId="179" applyNumberFormat="0" applyFont="0" applyAlignment="0" applyProtection="0"/>
    <xf numFmtId="0" fontId="87" fillId="46"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7" fillId="46" borderId="177" applyNumberFormat="0" applyAlignment="0" applyProtection="0"/>
    <xf numFmtId="0" fontId="81" fillId="59" borderId="177" applyNumberFormat="0" applyAlignment="0" applyProtection="0"/>
    <xf numFmtId="0" fontId="76" fillId="0" borderId="181" applyNumberFormat="0" applyFill="0" applyAlignment="0" applyProtection="0"/>
    <xf numFmtId="0" fontId="74" fillId="59" borderId="180" applyNumberFormat="0" applyAlignment="0" applyProtection="0"/>
    <xf numFmtId="0" fontId="71" fillId="46" borderId="177" applyNumberFormat="0" applyAlignment="0" applyProtection="0"/>
    <xf numFmtId="0" fontId="64" fillId="59" borderId="177" applyNumberFormat="0" applyAlignment="0" applyProtection="0"/>
    <xf numFmtId="0" fontId="81" fillId="59" borderId="177" applyNumberFormat="0" applyAlignment="0" applyProtection="0"/>
    <xf numFmtId="0" fontId="87" fillId="46" borderId="177" applyNumberFormat="0" applyAlignment="0" applyProtection="0"/>
    <xf numFmtId="0" fontId="81" fillId="59" borderId="177" applyNumberFormat="0" applyAlignment="0" applyProtection="0"/>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76" fillId="0" borderId="181" applyNumberFormat="0" applyFill="0" applyAlignment="0" applyProtection="0"/>
    <xf numFmtId="0" fontId="11" fillId="62" borderId="179" applyNumberFormat="0" applyFont="0" applyAlignment="0" applyProtection="0"/>
    <xf numFmtId="0" fontId="71" fillId="46" borderId="177" applyNumberFormat="0" applyAlignment="0" applyProtection="0"/>
    <xf numFmtId="0" fontId="64" fillId="59" borderId="177" applyNumberFormat="0" applyAlignment="0" applyProtection="0"/>
    <xf numFmtId="0" fontId="74" fillId="59" borderId="180" applyNumberFormat="0" applyAlignment="0" applyProtection="0"/>
    <xf numFmtId="0" fontId="11" fillId="62" borderId="179" applyNumberFormat="0" applyFont="0" applyAlignment="0" applyProtection="0"/>
    <xf numFmtId="0" fontId="74" fillId="59" borderId="180" applyNumberFormat="0" applyAlignment="0" applyProtection="0"/>
    <xf numFmtId="0" fontId="81" fillId="59" borderId="177"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11" fillId="62" borderId="179" applyNumberFormat="0" applyFon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1" fillId="59" borderId="177" applyNumberFormat="0" applyAlignment="0" applyProtection="0"/>
    <xf numFmtId="0" fontId="81" fillId="59" borderId="177" applyNumberFormat="0" applyAlignment="0" applyProtection="0"/>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10" fontId="11" fillId="3" borderId="207" applyNumberFormat="0" applyBorder="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9" fillId="62" borderId="179" applyNumberFormat="0" applyFont="0" applyAlignment="0" applyProtection="0"/>
    <xf numFmtId="0" fontId="9" fillId="62" borderId="179" applyNumberFormat="0" applyFont="0" applyAlignment="0" applyProtection="0"/>
    <xf numFmtId="0" fontId="90" fillId="59" borderId="180" applyNumberFormat="0" applyAlignment="0" applyProtection="0"/>
    <xf numFmtId="0" fontId="81" fillId="59" borderId="177" applyNumberFormat="0" applyAlignment="0" applyProtection="0"/>
    <xf numFmtId="0" fontId="81" fillId="59" borderId="177" applyNumberFormat="0" applyAlignment="0" applyProtection="0"/>
    <xf numFmtId="0" fontId="71" fillId="46" borderId="177" applyNumberFormat="0" applyAlignment="0" applyProtection="0"/>
    <xf numFmtId="0" fontId="90" fillId="59" borderId="180" applyNumberFormat="0" applyAlignment="0" applyProtection="0"/>
    <xf numFmtId="0" fontId="81" fillId="59" borderId="177" applyNumberFormat="0" applyAlignment="0" applyProtection="0"/>
    <xf numFmtId="0" fontId="81" fillId="59" borderId="177" applyNumberFormat="0" applyAlignment="0" applyProtection="0"/>
    <xf numFmtId="0" fontId="90" fillId="59" borderId="180" applyNumberFormat="0" applyAlignment="0" applyProtection="0"/>
    <xf numFmtId="0" fontId="9" fillId="62" borderId="179" applyNumberFormat="0" applyFont="0" applyAlignment="0" applyProtection="0"/>
    <xf numFmtId="0" fontId="64" fillId="59" borderId="177" applyNumberFormat="0" applyAlignment="0" applyProtection="0"/>
    <xf numFmtId="0" fontId="71" fillId="46" borderId="177" applyNumberFormat="0" applyAlignment="0" applyProtection="0"/>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81" fillId="59" borderId="177" applyNumberFormat="0" applyAlignment="0" applyProtection="0"/>
    <xf numFmtId="0" fontId="11" fillId="62" borderId="179" applyNumberFormat="0" applyFont="0" applyAlignment="0" applyProtection="0"/>
    <xf numFmtId="0" fontId="74" fillId="59" borderId="180" applyNumberFormat="0" applyAlignment="0" applyProtection="0"/>
    <xf numFmtId="0" fontId="76" fillId="0" borderId="181" applyNumberFormat="0" applyFill="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10" fontId="11" fillId="3" borderId="207" applyNumberFormat="0" applyBorder="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9" fillId="62" borderId="179" applyNumberFormat="0" applyFont="0" applyAlignment="0" applyProtection="0"/>
    <xf numFmtId="0" fontId="9" fillId="62" borderId="179" applyNumberFormat="0" applyFont="0" applyAlignment="0" applyProtection="0"/>
    <xf numFmtId="0" fontId="81" fillId="59"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12" fillId="0" borderId="206">
      <alignment horizontal="left" vertical="center"/>
    </xf>
    <xf numFmtId="0" fontId="87" fillId="46" borderId="177" applyNumberFormat="0" applyAlignment="0" applyProtection="0"/>
    <xf numFmtId="0" fontId="9" fillId="62" borderId="179" applyNumberFormat="0" applyFont="0" applyAlignment="0" applyProtection="0"/>
    <xf numFmtId="0" fontId="81" fillId="59" borderId="177" applyNumberFormat="0" applyAlignment="0" applyProtection="0"/>
    <xf numFmtId="0" fontId="90" fillId="59" borderId="180" applyNumberFormat="0" applyAlignment="0" applyProtection="0"/>
    <xf numFmtId="0" fontId="12" fillId="0" borderId="206">
      <alignment horizontal="left" vertical="center"/>
    </xf>
    <xf numFmtId="0" fontId="90" fillId="59" borderId="180" applyNumberFormat="0" applyAlignment="0" applyProtection="0"/>
    <xf numFmtId="0" fontId="87" fillId="46" borderId="177" applyNumberFormat="0" applyAlignment="0" applyProtection="0"/>
    <xf numFmtId="0" fontId="12" fillId="0" borderId="206">
      <alignment horizontal="left" vertical="center"/>
    </xf>
    <xf numFmtId="0" fontId="12" fillId="0" borderId="206">
      <alignment horizontal="left" vertical="center"/>
    </xf>
    <xf numFmtId="0" fontId="64" fillId="59" borderId="177" applyNumberFormat="0" applyAlignment="0" applyProtection="0"/>
    <xf numFmtId="0" fontId="71" fillId="46" borderId="177" applyNumberFormat="0" applyAlignment="0" applyProtection="0"/>
    <xf numFmtId="0" fontId="74" fillId="59" borderId="180" applyNumberFormat="0" applyAlignment="0" applyProtection="0"/>
    <xf numFmtId="0" fontId="76" fillId="0" borderId="181" applyNumberFormat="0" applyFill="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81" fillId="59" borderId="177" applyNumberFormat="0" applyAlignment="0" applyProtection="0"/>
    <xf numFmtId="0" fontId="81" fillId="59" borderId="177" applyNumberFormat="0" applyAlignment="0" applyProtection="0"/>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10" fontId="11" fillId="3" borderId="207" applyNumberFormat="0" applyBorder="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74" fillId="59" borderId="180" applyNumberFormat="0" applyAlignment="0" applyProtection="0"/>
    <xf numFmtId="0" fontId="11" fillId="62" borderId="179" applyNumberFormat="0" applyFont="0" applyAlignment="0" applyProtection="0"/>
    <xf numFmtId="0" fontId="71" fillId="46" borderId="177" applyNumberFormat="0" applyAlignment="0" applyProtection="0"/>
    <xf numFmtId="0" fontId="9" fillId="62" borderId="179" applyNumberFormat="0" applyFont="0" applyAlignment="0" applyProtection="0"/>
    <xf numFmtId="0" fontId="81" fillId="59" borderId="177" applyNumberFormat="0" applyAlignment="0" applyProtection="0"/>
    <xf numFmtId="0" fontId="87" fillId="46" borderId="177" applyNumberFormat="0" applyAlignment="0" applyProtection="0"/>
    <xf numFmtId="0" fontId="64" fillId="59" borderId="177" applyNumberFormat="0" applyAlignment="0" applyProtection="0"/>
    <xf numFmtId="0" fontId="12" fillId="0" borderId="206">
      <alignment horizontal="left" vertical="center"/>
    </xf>
    <xf numFmtId="0" fontId="87" fillId="46" borderId="177" applyNumberFormat="0" applyAlignment="0" applyProtection="0"/>
    <xf numFmtId="0" fontId="81" fillId="59" borderId="177" applyNumberFormat="0" applyAlignment="0" applyProtection="0"/>
    <xf numFmtId="0" fontId="81" fillId="59" borderId="177" applyNumberFormat="0" applyAlignment="0" applyProtection="0"/>
    <xf numFmtId="0" fontId="87" fillId="46" borderId="177" applyNumberFormat="0" applyAlignment="0" applyProtection="0"/>
    <xf numFmtId="0" fontId="81" fillId="59" borderId="177" applyNumberFormat="0" applyAlignment="0" applyProtection="0"/>
    <xf numFmtId="0" fontId="9" fillId="62" borderId="179" applyNumberFormat="0" applyFont="0" applyAlignment="0" applyProtection="0"/>
    <xf numFmtId="0" fontId="74" fillId="59" borderId="180"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7" fillId="46" borderId="177" applyNumberFormat="0" applyAlignment="0" applyProtection="0"/>
    <xf numFmtId="10" fontId="60" fillId="0" borderId="0" applyFont="0" applyFill="0" applyBorder="0" applyAlignment="0" applyProtection="0"/>
    <xf numFmtId="0" fontId="11" fillId="62" borderId="179" applyNumberFormat="0" applyFont="0" applyAlignment="0" applyProtection="0"/>
    <xf numFmtId="0" fontId="81" fillId="59" borderId="177" applyNumberFormat="0" applyAlignment="0" applyProtection="0"/>
    <xf numFmtId="0" fontId="64" fillId="59" borderId="177" applyNumberFormat="0" applyAlignment="0" applyProtection="0"/>
    <xf numFmtId="0" fontId="87" fillId="46" borderId="177" applyNumberFormat="0" applyAlignment="0" applyProtection="0"/>
    <xf numFmtId="0" fontId="71" fillId="46" borderId="177" applyNumberFormat="0" applyAlignment="0" applyProtection="0"/>
    <xf numFmtId="0" fontId="81" fillId="59" borderId="177" applyNumberFormat="0" applyAlignment="0" applyProtection="0"/>
    <xf numFmtId="0" fontId="11" fillId="62" borderId="179" applyNumberFormat="0" applyFont="0" applyAlignment="0" applyProtection="0"/>
    <xf numFmtId="0" fontId="74" fillId="59" borderId="180" applyNumberFormat="0" applyAlignment="0" applyProtection="0"/>
    <xf numFmtId="0" fontId="76" fillId="0" borderId="181" applyNumberFormat="0" applyFill="0" applyAlignment="0" applyProtection="0"/>
    <xf numFmtId="0" fontId="9" fillId="62" borderId="179" applyNumberFormat="0" applyFont="0" applyAlignment="0" applyProtection="0"/>
    <xf numFmtId="0" fontId="81" fillId="59" borderId="177" applyNumberFormat="0" applyAlignment="0" applyProtection="0"/>
    <xf numFmtId="0" fontId="9" fillId="62" borderId="179" applyNumberFormat="0" applyFon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64" fillId="59" borderId="177" applyNumberFormat="0" applyAlignment="0" applyProtection="0"/>
    <xf numFmtId="0" fontId="9" fillId="62" borderId="179" applyNumberFormat="0" applyFont="0" applyAlignment="0" applyProtection="0"/>
    <xf numFmtId="0" fontId="81" fillId="59" borderId="177" applyNumberFormat="0" applyAlignment="0" applyProtection="0"/>
    <xf numFmtId="0" fontId="81" fillId="59" borderId="177" applyNumberFormat="0" applyAlignment="0" applyProtection="0"/>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10" fontId="11" fillId="3" borderId="207" applyNumberFormat="0" applyBorder="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90" fillId="59" borderId="180" applyNumberFormat="0" applyAlignment="0" applyProtection="0"/>
    <xf numFmtId="0" fontId="11" fillId="62" borderId="179" applyNumberFormat="0" applyFont="0" applyAlignment="0" applyProtection="0"/>
    <xf numFmtId="0" fontId="81" fillId="59" borderId="177" applyNumberFormat="0" applyAlignment="0" applyProtection="0"/>
    <xf numFmtId="0" fontId="81" fillId="59" borderId="177" applyNumberForma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81" fillId="59" borderId="177" applyNumberFormat="0" applyAlignment="0" applyProtection="0"/>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10" fontId="11" fillId="3" borderId="207" applyNumberFormat="0" applyBorder="0" applyAlignment="0" applyProtection="0"/>
    <xf numFmtId="0" fontId="12" fillId="0" borderId="206">
      <alignment horizontal="left" vertical="center"/>
    </xf>
    <xf numFmtId="0" fontId="81" fillId="59" borderId="177" applyNumberFormat="0" applyAlignment="0" applyProtection="0"/>
    <xf numFmtId="0" fontId="81" fillId="59" borderId="177" applyNumberFormat="0" applyAlignment="0" applyProtection="0"/>
    <xf numFmtId="0" fontId="12" fillId="0" borderId="206">
      <alignment horizontal="left" vertical="center"/>
    </xf>
    <xf numFmtId="0" fontId="81" fillId="59" borderId="177" applyNumberFormat="0" applyAlignment="0" applyProtection="0"/>
    <xf numFmtId="0" fontId="90" fillId="59" borderId="180" applyNumberFormat="0" applyAlignment="0" applyProtection="0"/>
    <xf numFmtId="0" fontId="81" fillId="59" borderId="177" applyNumberFormat="0" applyAlignment="0" applyProtection="0"/>
    <xf numFmtId="0" fontId="87" fillId="46" borderId="177" applyNumberFormat="0" applyAlignment="0" applyProtection="0"/>
    <xf numFmtId="0" fontId="87" fillId="46" borderId="177" applyNumberFormat="0" applyAlignment="0" applyProtection="0"/>
    <xf numFmtId="0" fontId="90" fillId="59" borderId="180" applyNumberFormat="0" applyAlignment="0" applyProtection="0"/>
    <xf numFmtId="0" fontId="74" fillId="59" borderId="180" applyNumberFormat="0" applyAlignment="0" applyProtection="0"/>
    <xf numFmtId="0" fontId="81" fillId="59" borderId="177" applyNumberFormat="0" applyAlignment="0" applyProtection="0"/>
    <xf numFmtId="0" fontId="12" fillId="0" borderId="206">
      <alignment horizontal="left" vertical="center"/>
    </xf>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7" fillId="46" borderId="177" applyNumberFormat="0" applyAlignment="0" applyProtection="0"/>
    <xf numFmtId="0" fontId="87" fillId="46" borderId="177" applyNumberFormat="0" applyAlignment="0" applyProtection="0"/>
    <xf numFmtId="0" fontId="9" fillId="62" borderId="179" applyNumberFormat="0" applyFon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64" fillId="59" borderId="177" applyNumberFormat="0" applyAlignment="0" applyProtection="0"/>
    <xf numFmtId="0" fontId="71" fillId="46" borderId="177" applyNumberFormat="0" applyAlignment="0" applyProtection="0"/>
    <xf numFmtId="0" fontId="11" fillId="62" borderId="179" applyNumberFormat="0" applyFont="0" applyAlignment="0" applyProtection="0"/>
    <xf numFmtId="0" fontId="74" fillId="59" borderId="180" applyNumberFormat="0" applyAlignment="0" applyProtection="0"/>
    <xf numFmtId="0" fontId="76" fillId="0" borderId="181" applyNumberFormat="0" applyFill="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10" fontId="11" fillId="3" borderId="207" applyNumberFormat="0" applyBorder="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12" fillId="0" borderId="206">
      <alignment horizontal="left" vertical="center"/>
    </xf>
    <xf numFmtId="0" fontId="12" fillId="0" borderId="206">
      <alignment horizontal="left" vertical="center"/>
    </xf>
    <xf numFmtId="0" fontId="71" fillId="46" borderId="177" applyNumberFormat="0" applyAlignment="0" applyProtection="0"/>
    <xf numFmtId="0" fontId="81" fillId="59" borderId="177" applyNumberForma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12" fillId="0" borderId="206">
      <alignment horizontal="left" vertical="center"/>
    </xf>
    <xf numFmtId="0" fontId="90" fillId="59" borderId="180" applyNumberFormat="0" applyAlignment="0" applyProtection="0"/>
    <xf numFmtId="0" fontId="81" fillId="59" borderId="177" applyNumberFormat="0" applyAlignment="0" applyProtection="0"/>
    <xf numFmtId="0" fontId="81" fillId="59" borderId="177" applyNumberFormat="0" applyAlignment="0" applyProtection="0"/>
    <xf numFmtId="0" fontId="76" fillId="0" borderId="181" applyNumberFormat="0" applyFill="0" applyAlignment="0" applyProtection="0"/>
    <xf numFmtId="0" fontId="90" fillId="59" borderId="180"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64" fillId="59" borderId="177" applyNumberFormat="0" applyAlignment="0" applyProtection="0"/>
    <xf numFmtId="0" fontId="81" fillId="59" borderId="177" applyNumberForma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81" fillId="59" borderId="177" applyNumberFormat="0" applyAlignment="0" applyProtection="0"/>
    <xf numFmtId="0" fontId="90" fillId="59" borderId="180" applyNumberFormat="0" applyAlignment="0" applyProtection="0"/>
    <xf numFmtId="0" fontId="12" fillId="0" borderId="206">
      <alignment horizontal="left" vertical="center"/>
    </xf>
    <xf numFmtId="0" fontId="90" fillId="59" borderId="180" applyNumberFormat="0" applyAlignment="0" applyProtection="0"/>
    <xf numFmtId="0" fontId="90" fillId="59" borderId="180"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76" fillId="0" borderId="181" applyNumberFormat="0" applyFill="0" applyAlignment="0" applyProtection="0"/>
    <xf numFmtId="0" fontId="71" fillId="46" borderId="177" applyNumberFormat="0" applyAlignment="0" applyProtection="0"/>
    <xf numFmtId="0" fontId="64" fillId="59" borderId="177" applyNumberForma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12" fillId="0" borderId="206">
      <alignment horizontal="left" vertical="center"/>
    </xf>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0" fillId="59" borderId="180" applyNumberForma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81" fillId="59" borderId="177" applyNumberFormat="0" applyAlignment="0" applyProtection="0"/>
    <xf numFmtId="0" fontId="90" fillId="59" borderId="180" applyNumberFormat="0" applyAlignment="0" applyProtection="0"/>
    <xf numFmtId="0" fontId="90" fillId="59" borderId="180" applyNumberFormat="0" applyAlignment="0" applyProtection="0"/>
    <xf numFmtId="0" fontId="81" fillId="59"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64"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87" fillId="46" borderId="177" applyNumberFormat="0" applyAlignment="0" applyProtection="0"/>
    <xf numFmtId="0" fontId="76" fillId="0" borderId="181" applyNumberFormat="0" applyFill="0" applyAlignment="0" applyProtection="0"/>
    <xf numFmtId="0" fontId="11" fillId="62" borderId="179" applyNumberFormat="0" applyFont="0" applyAlignment="0" applyProtection="0"/>
    <xf numFmtId="0" fontId="81" fillId="59" borderId="177" applyNumberFormat="0" applyAlignment="0" applyProtection="0"/>
    <xf numFmtId="0" fontId="76" fillId="0" borderId="181" applyNumberFormat="0" applyFill="0" applyAlignment="0" applyProtection="0"/>
    <xf numFmtId="0" fontId="74" fillId="59" borderId="180" applyNumberFormat="0" applyAlignment="0" applyProtection="0"/>
    <xf numFmtId="0" fontId="64" fillId="59" borderId="177" applyNumberFormat="0" applyAlignment="0" applyProtection="0"/>
    <xf numFmtId="0" fontId="71" fillId="46" borderId="177" applyNumberFormat="0" applyAlignment="0" applyProtection="0"/>
    <xf numFmtId="0" fontId="11" fillId="62" borderId="179" applyNumberFormat="0" applyFont="0" applyAlignment="0" applyProtection="0"/>
    <xf numFmtId="0" fontId="74" fillId="59" borderId="180" applyNumberFormat="0" applyAlignment="0" applyProtection="0"/>
    <xf numFmtId="0" fontId="76" fillId="0" borderId="181" applyNumberFormat="0" applyFill="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10" fontId="11" fillId="3" borderId="207" applyNumberFormat="0" applyBorder="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81" fillId="59" borderId="177" applyNumberFormat="0" applyAlignment="0" applyProtection="0"/>
    <xf numFmtId="0" fontId="71" fillId="46" borderId="177" applyNumberFormat="0" applyAlignment="0" applyProtection="0"/>
    <xf numFmtId="0" fontId="64" fillId="59" borderId="177" applyNumberFormat="0" applyAlignment="0" applyProtection="0"/>
    <xf numFmtId="0" fontId="71" fillId="46" borderId="177" applyNumberFormat="0" applyAlignment="0" applyProtection="0"/>
    <xf numFmtId="0" fontId="11" fillId="62" borderId="179" applyNumberFormat="0" applyFont="0" applyAlignment="0" applyProtection="0"/>
    <xf numFmtId="0" fontId="74" fillId="59" borderId="180" applyNumberFormat="0" applyAlignment="0" applyProtection="0"/>
    <xf numFmtId="0" fontId="76" fillId="0" borderId="181" applyNumberFormat="0" applyFill="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81" fillId="59" borderId="177" applyNumberFormat="0" applyAlignment="0" applyProtection="0"/>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10" fontId="11" fillId="3" borderId="207" applyNumberFormat="0" applyBorder="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87" fillId="46" borderId="177" applyNumberFormat="0" applyAlignment="0" applyProtection="0"/>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0" fontId="12" fillId="0" borderId="206">
      <alignment horizontal="left" vertical="center"/>
    </xf>
    <xf numFmtId="10" fontId="11" fillId="3" borderId="207" applyNumberFormat="0" applyBorder="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87" fillId="46" borderId="177" applyNumberForma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 fillId="62" borderId="179" applyNumberFormat="0" applyFon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90" fillId="59" borderId="180" applyNumberFormat="0" applyAlignment="0" applyProtection="0"/>
    <xf numFmtId="0" fontId="71" fillId="46" borderId="214" applyNumberFormat="0" applyAlignment="0" applyProtection="0"/>
    <xf numFmtId="0" fontId="64" fillId="59" borderId="214" applyNumberFormat="0" applyAlignment="0" applyProtection="0"/>
    <xf numFmtId="0" fontId="74" fillId="59" borderId="221" applyNumberFormat="0" applyAlignment="0" applyProtection="0"/>
    <xf numFmtId="0" fontId="12" fillId="0" borderId="223">
      <alignment horizontal="left" vertical="center"/>
    </xf>
    <xf numFmtId="0" fontId="11" fillId="62" borderId="215" applyNumberFormat="0" applyFont="0" applyAlignment="0" applyProtection="0"/>
    <xf numFmtId="0" fontId="74" fillId="59" borderId="216" applyNumberFormat="0" applyAlignment="0" applyProtection="0"/>
    <xf numFmtId="0" fontId="81" fillId="59" borderId="208"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81" fillId="59" borderId="219" applyNumberFormat="0" applyAlignment="0" applyProtection="0"/>
    <xf numFmtId="0" fontId="81" fillId="59" borderId="219" applyNumberFormat="0" applyAlignment="0" applyProtection="0"/>
    <xf numFmtId="0" fontId="81" fillId="59" borderId="219" applyNumberFormat="0" applyAlignment="0" applyProtection="0"/>
    <xf numFmtId="0" fontId="81" fillId="59" borderId="219" applyNumberFormat="0" applyAlignment="0" applyProtection="0"/>
    <xf numFmtId="0" fontId="81" fillId="59" borderId="219" applyNumberFormat="0" applyAlignment="0" applyProtection="0"/>
    <xf numFmtId="0" fontId="81" fillId="59" borderId="219" applyNumberFormat="0" applyAlignment="0" applyProtection="0"/>
    <xf numFmtId="0" fontId="11" fillId="62" borderId="220" applyNumberFormat="0" applyFon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1" fillId="59" borderId="208" applyNumberFormat="0" applyAlignment="0" applyProtection="0"/>
    <xf numFmtId="0" fontId="81" fillId="59" borderId="208" applyNumberFormat="0" applyAlignment="0" applyProtection="0"/>
    <xf numFmtId="0" fontId="12" fillId="0" borderId="218">
      <alignment horizontal="left" vertical="center"/>
    </xf>
    <xf numFmtId="0" fontId="12" fillId="0" borderId="218">
      <alignment horizontal="left" vertical="center"/>
    </xf>
    <xf numFmtId="0" fontId="12" fillId="0" borderId="218">
      <alignment horizontal="left" vertical="center"/>
    </xf>
    <xf numFmtId="0" fontId="12" fillId="0" borderId="218">
      <alignment horizontal="left" vertical="center"/>
    </xf>
    <xf numFmtId="0" fontId="12" fillId="0" borderId="218">
      <alignment horizontal="left" vertical="center"/>
    </xf>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9" fillId="62" borderId="215" applyNumberFormat="0" applyFont="0" applyAlignment="0" applyProtection="0"/>
    <xf numFmtId="0" fontId="9" fillId="62" borderId="215" applyNumberFormat="0" applyFont="0" applyAlignment="0" applyProtection="0"/>
    <xf numFmtId="0" fontId="90" fillId="59" borderId="216" applyNumberFormat="0" applyAlignment="0" applyProtection="0"/>
    <xf numFmtId="0" fontId="81" fillId="59" borderId="219" applyNumberFormat="0" applyAlignment="0" applyProtection="0"/>
    <xf numFmtId="0" fontId="81" fillId="59" borderId="208" applyNumberFormat="0" applyAlignment="0" applyProtection="0"/>
    <xf numFmtId="0" fontId="71" fillId="46" borderId="219" applyNumberFormat="0" applyAlignment="0" applyProtection="0"/>
    <xf numFmtId="0" fontId="90" fillId="59" borderId="216" applyNumberFormat="0" applyAlignment="0" applyProtection="0"/>
    <xf numFmtId="0" fontId="81" fillId="59" borderId="214" applyNumberFormat="0" applyAlignment="0" applyProtection="0"/>
    <xf numFmtId="0" fontId="81" fillId="59" borderId="214" applyNumberFormat="0" applyAlignment="0" applyProtection="0"/>
    <xf numFmtId="0" fontId="90" fillId="59" borderId="216" applyNumberFormat="0" applyAlignment="0" applyProtection="0"/>
    <xf numFmtId="0" fontId="9" fillId="62" borderId="215" applyNumberFormat="0" applyFont="0" applyAlignment="0" applyProtection="0"/>
    <xf numFmtId="0" fontId="64" fillId="59" borderId="208" applyNumberFormat="0" applyAlignment="0" applyProtection="0"/>
    <xf numFmtId="0" fontId="71" fillId="46" borderId="208" applyNumberFormat="0" applyAlignment="0" applyProtection="0"/>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81" fillId="59" borderId="208" applyNumberFormat="0" applyAlignment="0" applyProtection="0"/>
    <xf numFmtId="0" fontId="11" fillId="62" borderId="209" applyNumberFormat="0" applyFont="0" applyAlignment="0" applyProtection="0"/>
    <xf numFmtId="0" fontId="74" fillId="59" borderId="210" applyNumberFormat="0" applyAlignment="0" applyProtection="0"/>
    <xf numFmtId="0" fontId="76" fillId="0" borderId="211" applyNumberFormat="0" applyFill="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14" applyNumberFormat="0" applyAlignment="0" applyProtection="0"/>
    <xf numFmtId="0" fontId="81" fillId="59" borderId="214" applyNumberFormat="0" applyAlignment="0" applyProtection="0"/>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10" fontId="11" fillId="3" borderId="213" applyNumberFormat="0" applyBorder="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1" fillId="59" borderId="214" applyNumberFormat="0" applyAlignment="0" applyProtection="0"/>
    <xf numFmtId="0" fontId="81" fillId="59" borderId="208" applyNumberFormat="0" applyAlignment="0" applyProtection="0"/>
    <xf numFmtId="0" fontId="12" fillId="0" borderId="223">
      <alignment horizontal="left" vertical="center"/>
    </xf>
    <xf numFmtId="0" fontId="81" fillId="59" borderId="214" applyNumberFormat="0" applyAlignment="0" applyProtection="0"/>
    <xf numFmtId="0" fontId="9" fillId="62" borderId="215" applyNumberFormat="0" applyFont="0" applyAlignment="0" applyProtection="0"/>
    <xf numFmtId="0" fontId="9" fillId="62" borderId="209" applyNumberFormat="0" applyFont="0" applyAlignment="0" applyProtection="0"/>
    <xf numFmtId="0" fontId="81" fillId="59" borderId="219"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12" fillId="0" borderId="218">
      <alignment horizontal="left" vertical="center"/>
    </xf>
    <xf numFmtId="0" fontId="87" fillId="46" borderId="214" applyNumberFormat="0" applyAlignment="0" applyProtection="0"/>
    <xf numFmtId="0" fontId="9" fillId="62" borderId="215" applyNumberFormat="0" applyFont="0" applyAlignment="0" applyProtection="0"/>
    <xf numFmtId="0" fontId="81" fillId="59" borderId="208" applyNumberFormat="0" applyAlignment="0" applyProtection="0"/>
    <xf numFmtId="0" fontId="90" fillId="59" borderId="216" applyNumberFormat="0" applyAlignment="0" applyProtection="0"/>
    <xf numFmtId="0" fontId="12" fillId="0" borderId="212">
      <alignment horizontal="left" vertical="center"/>
    </xf>
    <xf numFmtId="0" fontId="90" fillId="59" borderId="210" applyNumberFormat="0" applyAlignment="0" applyProtection="0"/>
    <xf numFmtId="0" fontId="87" fillId="46" borderId="214" applyNumberFormat="0" applyAlignment="0" applyProtection="0"/>
    <xf numFmtId="0" fontId="12" fillId="0" borderId="212">
      <alignment horizontal="left" vertical="center"/>
    </xf>
    <xf numFmtId="0" fontId="12" fillId="0" borderId="218">
      <alignment horizontal="left" vertical="center"/>
    </xf>
    <xf numFmtId="0" fontId="64" fillId="59" borderId="208" applyNumberFormat="0" applyAlignment="0" applyProtection="0"/>
    <xf numFmtId="0" fontId="71" fillId="46" borderId="208" applyNumberFormat="0" applyAlignment="0" applyProtection="0"/>
    <xf numFmtId="0" fontId="74" fillId="59" borderId="210" applyNumberFormat="0" applyAlignment="0" applyProtection="0"/>
    <xf numFmtId="0" fontId="76" fillId="0" borderId="211" applyNumberFormat="0" applyFill="0" applyAlignment="0" applyProtection="0"/>
    <xf numFmtId="0" fontId="81" fillId="59" borderId="214"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81" fillId="59" borderId="214" applyNumberFormat="0" applyAlignment="0" applyProtection="0"/>
    <xf numFmtId="0" fontId="81" fillId="59" borderId="208" applyNumberFormat="0" applyAlignment="0" applyProtection="0"/>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10" fontId="11" fillId="3" borderId="213" applyNumberFormat="0" applyBorder="0" applyAlignment="0" applyProtection="0"/>
    <xf numFmtId="0" fontId="81" fillId="59" borderId="214" applyNumberFormat="0" applyAlignment="0" applyProtection="0"/>
    <xf numFmtId="0" fontId="81" fillId="59" borderId="214" applyNumberFormat="0" applyAlignment="0" applyProtection="0"/>
    <xf numFmtId="0" fontId="81" fillId="59" borderId="208" applyNumberFormat="0" applyAlignment="0" applyProtection="0"/>
    <xf numFmtId="0" fontId="81" fillId="59" borderId="214" applyNumberFormat="0" applyAlignment="0" applyProtection="0"/>
    <xf numFmtId="0" fontId="81" fillId="59" borderId="219" applyNumberFormat="0" applyAlignment="0" applyProtection="0"/>
    <xf numFmtId="0" fontId="9" fillId="62" borderId="209" applyNumberFormat="0" applyFont="0" applyAlignment="0" applyProtection="0"/>
    <xf numFmtId="0" fontId="81" fillId="59" borderId="219" applyNumberFormat="0" applyAlignment="0" applyProtection="0"/>
    <xf numFmtId="0" fontId="87" fillId="46" borderId="208" applyNumberFormat="0" applyAlignment="0" applyProtection="0"/>
    <xf numFmtId="0" fontId="12" fillId="0" borderId="218">
      <alignment horizontal="left" vertical="center"/>
    </xf>
    <xf numFmtId="0" fontId="87" fillId="46" borderId="214" applyNumberFormat="0" applyAlignment="0" applyProtection="0"/>
    <xf numFmtId="0" fontId="81" fillId="59" borderId="208" applyNumberFormat="0" applyAlignment="0" applyProtection="0"/>
    <xf numFmtId="0" fontId="81" fillId="59" borderId="208" applyNumberFormat="0" applyAlignment="0" applyProtection="0"/>
    <xf numFmtId="0" fontId="87" fillId="46" borderId="208" applyNumberFormat="0" applyAlignment="0" applyProtection="0"/>
    <xf numFmtId="0" fontId="81" fillId="59" borderId="214" applyNumberFormat="0" applyAlignment="0" applyProtection="0"/>
    <xf numFmtId="0" fontId="9" fillId="62" borderId="215" applyNumberFormat="0" applyFont="0" applyAlignment="0" applyProtection="0"/>
    <xf numFmtId="0" fontId="74" fillId="59" borderId="210" applyNumberFormat="0" applyAlignment="0" applyProtection="0"/>
    <xf numFmtId="0" fontId="81" fillId="59" borderId="208" applyNumberFormat="0" applyAlignment="0" applyProtection="0"/>
    <xf numFmtId="0" fontId="81" fillId="59" borderId="214"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7" fillId="46" borderId="214" applyNumberFormat="0" applyAlignment="0" applyProtection="0"/>
    <xf numFmtId="0" fontId="11" fillId="62" borderId="209" applyNumberFormat="0" applyFont="0" applyAlignment="0" applyProtection="0"/>
    <xf numFmtId="0" fontId="81" fillId="59" borderId="208" applyNumberFormat="0" applyAlignment="0" applyProtection="0"/>
    <xf numFmtId="0" fontId="64" fillId="59" borderId="208" applyNumberFormat="0" applyAlignment="0" applyProtection="0"/>
    <xf numFmtId="0" fontId="87" fillId="46" borderId="214" applyNumberFormat="0" applyAlignment="0" applyProtection="0"/>
    <xf numFmtId="0" fontId="71" fillId="46" borderId="208" applyNumberFormat="0" applyAlignment="0" applyProtection="0"/>
    <xf numFmtId="0" fontId="81" fillId="59" borderId="208" applyNumberFormat="0" applyAlignment="0" applyProtection="0"/>
    <xf numFmtId="0" fontId="11" fillId="62" borderId="209" applyNumberFormat="0" applyFont="0" applyAlignment="0" applyProtection="0"/>
    <xf numFmtId="0" fontId="74" fillId="59" borderId="210" applyNumberFormat="0" applyAlignment="0" applyProtection="0"/>
    <xf numFmtId="0" fontId="76" fillId="0" borderId="211" applyNumberFormat="0" applyFill="0" applyAlignment="0" applyProtection="0"/>
    <xf numFmtId="0" fontId="9" fillId="62" borderId="215" applyNumberFormat="0" applyFont="0" applyAlignment="0" applyProtection="0"/>
    <xf numFmtId="0" fontId="81" fillId="59" borderId="214" applyNumberFormat="0" applyAlignment="0" applyProtection="0"/>
    <xf numFmtId="0" fontId="9" fillId="62" borderId="215" applyNumberFormat="0" applyFon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64" fillId="59" borderId="208" applyNumberFormat="0" applyAlignment="0" applyProtection="0"/>
    <xf numFmtId="0" fontId="9" fillId="62" borderId="215" applyNumberFormat="0" applyFont="0" applyAlignment="0" applyProtection="0"/>
    <xf numFmtId="0" fontId="81" fillId="59" borderId="208" applyNumberFormat="0" applyAlignment="0" applyProtection="0"/>
    <xf numFmtId="0" fontId="81" fillId="59" borderId="208" applyNumberFormat="0" applyAlignment="0" applyProtection="0"/>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10" fontId="11" fillId="3" borderId="213" applyNumberFormat="0" applyBorder="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90" fillId="59" borderId="216" applyNumberFormat="0" applyAlignment="0" applyProtection="0"/>
    <xf numFmtId="0" fontId="11" fillId="62" borderId="209" applyNumberFormat="0" applyFont="0" applyAlignment="0" applyProtection="0"/>
    <xf numFmtId="0" fontId="81" fillId="59" borderId="214" applyNumberFormat="0" applyAlignment="0" applyProtection="0"/>
    <xf numFmtId="0" fontId="81" fillId="59" borderId="208" applyNumberForma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81" fillId="59" borderId="208" applyNumberFormat="0" applyAlignment="0" applyProtection="0"/>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10" fontId="11" fillId="3" borderId="213" applyNumberFormat="0" applyBorder="0" applyAlignment="0" applyProtection="0"/>
    <xf numFmtId="0" fontId="12" fillId="0" borderId="212">
      <alignment horizontal="left" vertical="center"/>
    </xf>
    <xf numFmtId="0" fontId="81" fillId="59" borderId="214" applyNumberFormat="0" applyAlignment="0" applyProtection="0"/>
    <xf numFmtId="0" fontId="81" fillId="59" borderId="208" applyNumberFormat="0" applyAlignment="0" applyProtection="0"/>
    <xf numFmtId="0" fontId="12" fillId="0" borderId="212">
      <alignment horizontal="left" vertical="center"/>
    </xf>
    <xf numFmtId="0" fontId="81" fillId="59" borderId="208" applyNumberFormat="0" applyAlignment="0" applyProtection="0"/>
    <xf numFmtId="0" fontId="90" fillId="59" borderId="216" applyNumberFormat="0" applyAlignment="0" applyProtection="0"/>
    <xf numFmtId="0" fontId="81" fillId="59" borderId="208" applyNumberFormat="0" applyAlignment="0" applyProtection="0"/>
    <xf numFmtId="0" fontId="87" fillId="46" borderId="214" applyNumberFormat="0" applyAlignment="0" applyProtection="0"/>
    <xf numFmtId="0" fontId="87" fillId="46" borderId="208" applyNumberFormat="0" applyAlignment="0" applyProtection="0"/>
    <xf numFmtId="0" fontId="90" fillId="59" borderId="210" applyNumberFormat="0" applyAlignment="0" applyProtection="0"/>
    <xf numFmtId="0" fontId="74" fillId="59" borderId="216" applyNumberFormat="0" applyAlignment="0" applyProtection="0"/>
    <xf numFmtId="0" fontId="81" fillId="59" borderId="214" applyNumberFormat="0" applyAlignment="0" applyProtection="0"/>
    <xf numFmtId="0" fontId="12" fillId="0" borderId="218">
      <alignment horizontal="left" vertical="center"/>
    </xf>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7" fillId="46" borderId="208" applyNumberFormat="0" applyAlignment="0" applyProtection="0"/>
    <xf numFmtId="0" fontId="87" fillId="46" borderId="208" applyNumberFormat="0" applyAlignment="0" applyProtection="0"/>
    <xf numFmtId="0" fontId="9" fillId="62" borderId="209" applyNumberFormat="0" applyFont="0" applyAlignment="0" applyProtection="0"/>
    <xf numFmtId="0" fontId="81" fillId="59" borderId="214" applyNumberFormat="0" applyAlignment="0" applyProtection="0"/>
    <xf numFmtId="0" fontId="81" fillId="59" borderId="208" applyNumberFormat="0" applyAlignment="0" applyProtection="0"/>
    <xf numFmtId="0" fontId="81" fillId="59" borderId="214" applyNumberFormat="0" applyAlignment="0" applyProtection="0"/>
    <xf numFmtId="10" fontId="11" fillId="3" borderId="224" applyNumberFormat="0" applyBorder="0" applyAlignment="0" applyProtection="0"/>
    <xf numFmtId="0" fontId="81" fillId="59" borderId="214" applyNumberFormat="0" applyAlignment="0" applyProtection="0"/>
    <xf numFmtId="0" fontId="64" fillId="59" borderId="208" applyNumberFormat="0" applyAlignment="0" applyProtection="0"/>
    <xf numFmtId="0" fontId="71" fillId="46" borderId="208" applyNumberFormat="0" applyAlignment="0" applyProtection="0"/>
    <xf numFmtId="0" fontId="11" fillId="62" borderId="209" applyNumberFormat="0" applyFont="0" applyAlignment="0" applyProtection="0"/>
    <xf numFmtId="0" fontId="74" fillId="59" borderId="210" applyNumberFormat="0" applyAlignment="0" applyProtection="0"/>
    <xf numFmtId="0" fontId="76" fillId="0" borderId="211" applyNumberFormat="0" applyFill="0" applyAlignment="0" applyProtection="0"/>
    <xf numFmtId="0" fontId="81" fillId="59" borderId="208" applyNumberFormat="0" applyAlignment="0" applyProtection="0"/>
    <xf numFmtId="0" fontId="81" fillId="59" borderId="214"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10" fontId="11" fillId="3" borderId="213" applyNumberFormat="0" applyBorder="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12" fillId="0" borderId="218">
      <alignment horizontal="left" vertical="center"/>
    </xf>
    <xf numFmtId="0" fontId="12" fillId="0" borderId="218">
      <alignment horizontal="left" vertical="center"/>
    </xf>
    <xf numFmtId="0" fontId="71" fillId="46" borderId="208" applyNumberFormat="0" applyAlignment="0" applyProtection="0"/>
    <xf numFmtId="0" fontId="81" fillId="59" borderId="208" applyNumberForma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12" fillId="0" borderId="212">
      <alignment horizontal="left" vertical="center"/>
    </xf>
    <xf numFmtId="0" fontId="90" fillId="59" borderId="216" applyNumberFormat="0" applyAlignment="0" applyProtection="0"/>
    <xf numFmtId="0" fontId="81" fillId="59" borderId="208" applyNumberFormat="0" applyAlignment="0" applyProtection="0"/>
    <xf numFmtId="0" fontId="81" fillId="59" borderId="214" applyNumberFormat="0" applyAlignment="0" applyProtection="0"/>
    <xf numFmtId="0" fontId="76" fillId="0" borderId="211" applyNumberFormat="0" applyFill="0" applyAlignment="0" applyProtection="0"/>
    <xf numFmtId="0" fontId="90" fillId="59" borderId="210" applyNumberFormat="0" applyAlignment="0" applyProtection="0"/>
    <xf numFmtId="0" fontId="81" fillId="59" borderId="214" applyNumberFormat="0" applyAlignment="0" applyProtection="0"/>
    <xf numFmtId="0" fontId="81" fillId="59" borderId="219" applyNumberFormat="0" applyAlignment="0" applyProtection="0"/>
    <xf numFmtId="0" fontId="81" fillId="59" borderId="208" applyNumberFormat="0" applyAlignment="0" applyProtection="0"/>
    <xf numFmtId="0" fontId="81" fillId="59" borderId="214"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64" fillId="59" borderId="208" applyNumberFormat="0" applyAlignment="0" applyProtection="0"/>
    <xf numFmtId="0" fontId="81" fillId="59" borderId="214" applyNumberForma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12" fillId="0" borderId="223">
      <alignment horizontal="left" vertical="center"/>
    </xf>
    <xf numFmtId="0" fontId="81" fillId="59" borderId="208" applyNumberFormat="0" applyAlignment="0" applyProtection="0"/>
    <xf numFmtId="0" fontId="90" fillId="59" borderId="216" applyNumberFormat="0" applyAlignment="0" applyProtection="0"/>
    <xf numFmtId="0" fontId="12" fillId="0" borderId="212">
      <alignment horizontal="left" vertical="center"/>
    </xf>
    <xf numFmtId="0" fontId="90" fillId="59" borderId="216" applyNumberFormat="0" applyAlignment="0" applyProtection="0"/>
    <xf numFmtId="0" fontId="90" fillId="59" borderId="216"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12" fillId="0" borderId="223">
      <alignment horizontal="left" vertical="center"/>
    </xf>
    <xf numFmtId="0" fontId="76" fillId="0" borderId="217" applyNumberFormat="0" applyFill="0" applyAlignment="0" applyProtection="0"/>
    <xf numFmtId="0" fontId="71" fillId="46" borderId="214" applyNumberFormat="0" applyAlignment="0" applyProtection="0"/>
    <xf numFmtId="0" fontId="64" fillId="59" borderId="214" applyNumberForma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12" fillId="0" borderId="218">
      <alignment horizontal="left" vertical="center"/>
    </xf>
    <xf numFmtId="0" fontId="81" fillId="59" borderId="208" applyNumberFormat="0" applyAlignment="0" applyProtection="0"/>
    <xf numFmtId="0" fontId="81" fillId="59" borderId="208" applyNumberFormat="0" applyAlignment="0" applyProtection="0"/>
    <xf numFmtId="0" fontId="81" fillId="59" borderId="208" applyNumberFormat="0" applyAlignment="0" applyProtection="0"/>
    <xf numFmtId="0" fontId="81" fillId="59" borderId="214" applyNumberFormat="0" applyAlignment="0" applyProtection="0"/>
    <xf numFmtId="0" fontId="87" fillId="46" borderId="219"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0" fillId="59" borderId="216" applyNumberForma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81" fillId="59" borderId="214" applyNumberFormat="0" applyAlignment="0" applyProtection="0"/>
    <xf numFmtId="0" fontId="90" fillId="59" borderId="216" applyNumberFormat="0" applyAlignment="0" applyProtection="0"/>
    <xf numFmtId="0" fontId="90" fillId="59" borderId="216" applyNumberFormat="0" applyAlignment="0" applyProtection="0"/>
    <xf numFmtId="0" fontId="81" fillId="59" borderId="208"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64" fillId="59" borderId="219" applyNumberFormat="0" applyAlignment="0" applyProtection="0"/>
    <xf numFmtId="0" fontId="81" fillId="59" borderId="219" applyNumberFormat="0" applyAlignment="0" applyProtection="0"/>
    <xf numFmtId="0" fontId="81" fillId="59" borderId="219" applyNumberFormat="0" applyAlignment="0" applyProtection="0"/>
    <xf numFmtId="0" fontId="81" fillId="59" borderId="219" applyNumberFormat="0" applyAlignment="0" applyProtection="0"/>
    <xf numFmtId="0" fontId="81" fillId="59" borderId="219" applyNumberFormat="0" applyAlignment="0" applyProtection="0"/>
    <xf numFmtId="0" fontId="81" fillId="59" borderId="219" applyNumberFormat="0" applyAlignment="0" applyProtection="0"/>
    <xf numFmtId="0" fontId="81" fillId="59" borderId="219" applyNumberForma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12" fillId="0" borderId="223">
      <alignment horizontal="left" vertical="center"/>
    </xf>
    <xf numFmtId="0" fontId="12" fillId="0" borderId="223">
      <alignment horizontal="left" vertical="center"/>
    </xf>
    <xf numFmtId="0" fontId="87" fillId="46" borderId="219" applyNumberFormat="0" applyAlignment="0" applyProtection="0"/>
    <xf numFmtId="0" fontId="76" fillId="0" borderId="222" applyNumberFormat="0" applyFill="0" applyAlignment="0" applyProtection="0"/>
    <xf numFmtId="0" fontId="11" fillId="62" borderId="209" applyNumberFormat="0" applyFont="0" applyAlignment="0" applyProtection="0"/>
    <xf numFmtId="0" fontId="81" fillId="59" borderId="208" applyNumberFormat="0" applyAlignment="0" applyProtection="0"/>
    <xf numFmtId="0" fontId="76" fillId="0" borderId="211" applyNumberFormat="0" applyFill="0" applyAlignment="0" applyProtection="0"/>
    <xf numFmtId="0" fontId="74" fillId="59" borderId="210" applyNumberFormat="0" applyAlignment="0" applyProtection="0"/>
    <xf numFmtId="0" fontId="64" fillId="59" borderId="214" applyNumberFormat="0" applyAlignment="0" applyProtection="0"/>
    <xf numFmtId="0" fontId="71" fillId="46" borderId="214" applyNumberFormat="0" applyAlignment="0" applyProtection="0"/>
    <xf numFmtId="0" fontId="11" fillId="62" borderId="215" applyNumberFormat="0" applyFont="0" applyAlignment="0" applyProtection="0"/>
    <xf numFmtId="0" fontId="74" fillId="59" borderId="216" applyNumberFormat="0" applyAlignment="0" applyProtection="0"/>
    <xf numFmtId="0" fontId="76" fillId="0" borderId="217" applyNumberFormat="0" applyFill="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12" fillId="0" borderId="218">
      <alignment horizontal="left" vertical="center"/>
    </xf>
    <xf numFmtId="0" fontId="12" fillId="0" borderId="218">
      <alignment horizontal="left" vertical="center"/>
    </xf>
    <xf numFmtId="0" fontId="12" fillId="0" borderId="218">
      <alignment horizontal="left" vertical="center"/>
    </xf>
    <xf numFmtId="0" fontId="12" fillId="0" borderId="218">
      <alignment horizontal="left" vertical="center"/>
    </xf>
    <xf numFmtId="0" fontId="12" fillId="0" borderId="218">
      <alignment horizontal="left" vertical="center"/>
    </xf>
    <xf numFmtId="0" fontId="12" fillId="0" borderId="218">
      <alignment horizontal="left" vertical="center"/>
    </xf>
    <xf numFmtId="0" fontId="12" fillId="0" borderId="218">
      <alignment horizontal="left" vertical="center"/>
    </xf>
    <xf numFmtId="0" fontId="12" fillId="0" borderId="218">
      <alignment horizontal="left" vertical="center"/>
    </xf>
    <xf numFmtId="0" fontId="12" fillId="0" borderId="218">
      <alignment horizontal="left" vertical="center"/>
    </xf>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81" fillId="59" borderId="208" applyNumberFormat="0" applyAlignment="0" applyProtection="0"/>
    <xf numFmtId="0" fontId="71" fillId="46" borderId="208" applyNumberFormat="0" applyAlignment="0" applyProtection="0"/>
    <xf numFmtId="0" fontId="12" fillId="0" borderId="223">
      <alignment horizontal="left" vertical="center"/>
    </xf>
    <xf numFmtId="0" fontId="64" fillId="59" borderId="214" applyNumberFormat="0" applyAlignment="0" applyProtection="0"/>
    <xf numFmtId="0" fontId="71" fillId="46" borderId="214" applyNumberFormat="0" applyAlignment="0" applyProtection="0"/>
    <xf numFmtId="0" fontId="11" fillId="62" borderId="215" applyNumberFormat="0" applyFont="0" applyAlignment="0" applyProtection="0"/>
    <xf numFmtId="0" fontId="74" fillId="59" borderId="216" applyNumberFormat="0" applyAlignment="0" applyProtection="0"/>
    <xf numFmtId="0" fontId="76" fillId="0" borderId="217" applyNumberFormat="0" applyFill="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81" fillId="59" borderId="214" applyNumberFormat="0" applyAlignment="0" applyProtection="0"/>
    <xf numFmtId="0" fontId="12" fillId="0" borderId="218">
      <alignment horizontal="left" vertical="center"/>
    </xf>
    <xf numFmtId="0" fontId="12" fillId="0" borderId="218">
      <alignment horizontal="left" vertical="center"/>
    </xf>
    <xf numFmtId="0" fontId="12" fillId="0" borderId="218">
      <alignment horizontal="left" vertical="center"/>
    </xf>
    <xf numFmtId="0" fontId="12" fillId="0" borderId="218">
      <alignment horizontal="left" vertical="center"/>
    </xf>
    <xf numFmtId="0" fontId="12" fillId="0" borderId="218">
      <alignment horizontal="left" vertical="center"/>
    </xf>
    <xf numFmtId="0" fontId="12" fillId="0" borderId="218">
      <alignment horizontal="left" vertical="center"/>
    </xf>
    <xf numFmtId="0" fontId="12" fillId="0" borderId="218">
      <alignment horizontal="left" vertical="center"/>
    </xf>
    <xf numFmtId="0" fontId="12" fillId="0" borderId="218">
      <alignment horizontal="left" vertical="center"/>
    </xf>
    <xf numFmtId="0" fontId="12" fillId="0" borderId="218">
      <alignment horizontal="left" vertical="center"/>
    </xf>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87" fillId="46" borderId="214" applyNumberForma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 fillId="62" borderId="215" applyNumberFormat="0" applyFon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90" fillId="59" borderId="216" applyNumberFormat="0" applyAlignment="0" applyProtection="0"/>
    <xf numFmtId="0" fontId="87" fillId="46" borderId="219" applyNumberFormat="0" applyAlignment="0" applyProtection="0"/>
    <xf numFmtId="0" fontId="12" fillId="0" borderId="223">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0" fontId="12" fillId="0" borderId="212">
      <alignment horizontal="left" vertical="center"/>
    </xf>
    <xf numFmtId="10" fontId="11" fillId="3" borderId="213" applyNumberFormat="0" applyBorder="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87" fillId="46" borderId="208" applyNumberForma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 fillId="62" borderId="209" applyNumberFormat="0" applyFon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90" fillId="59" borderId="210" applyNumberFormat="0" applyAlignment="0" applyProtection="0"/>
    <xf numFmtId="0" fontId="87" fillId="46" borderId="219" applyNumberFormat="0" applyAlignment="0" applyProtection="0"/>
    <xf numFmtId="0" fontId="87" fillId="46" borderId="219" applyNumberFormat="0" applyAlignment="0" applyProtection="0"/>
    <xf numFmtId="0" fontId="87" fillId="46" borderId="219" applyNumberFormat="0" applyAlignment="0" applyProtection="0"/>
    <xf numFmtId="0" fontId="87" fillId="46" borderId="219" applyNumberFormat="0" applyAlignment="0" applyProtection="0"/>
    <xf numFmtId="0" fontId="87" fillId="46" borderId="219" applyNumberFormat="0" applyAlignment="0" applyProtection="0"/>
    <xf numFmtId="0" fontId="87" fillId="46" borderId="219" applyNumberFormat="0" applyAlignment="0" applyProtection="0"/>
    <xf numFmtId="0" fontId="87" fillId="46" borderId="219" applyNumberFormat="0" applyAlignment="0" applyProtection="0"/>
    <xf numFmtId="0" fontId="87" fillId="46" borderId="219" applyNumberFormat="0" applyAlignment="0" applyProtection="0"/>
    <xf numFmtId="0" fontId="87" fillId="46" borderId="219" applyNumberFormat="0" applyAlignment="0" applyProtection="0"/>
    <xf numFmtId="0" fontId="87" fillId="46" borderId="219" applyNumberFormat="0" applyAlignment="0" applyProtection="0"/>
    <xf numFmtId="0" fontId="87" fillId="46" borderId="219" applyNumberFormat="0" applyAlignment="0" applyProtection="0"/>
    <xf numFmtId="0" fontId="87" fillId="46" borderId="219" applyNumberFormat="0" applyAlignment="0" applyProtection="0"/>
    <xf numFmtId="0" fontId="87" fillId="46" borderId="219" applyNumberFormat="0" applyAlignment="0" applyProtection="0"/>
    <xf numFmtId="0" fontId="87" fillId="46" borderId="219" applyNumberFormat="0" applyAlignment="0" applyProtection="0"/>
    <xf numFmtId="0" fontId="87" fillId="46" borderId="219" applyNumberFormat="0" applyAlignment="0" applyProtection="0"/>
    <xf numFmtId="0" fontId="87" fillId="46" borderId="219" applyNumberFormat="0" applyAlignment="0" applyProtection="0"/>
    <xf numFmtId="0" fontId="87" fillId="46" borderId="219" applyNumberFormat="0" applyAlignment="0" applyProtection="0"/>
    <xf numFmtId="0" fontId="87" fillId="46" borderId="219" applyNumberFormat="0" applyAlignment="0" applyProtection="0"/>
    <xf numFmtId="0" fontId="87" fillId="46" borderId="219" applyNumberFormat="0" applyAlignment="0" applyProtection="0"/>
    <xf numFmtId="0" fontId="9" fillId="62" borderId="220" applyNumberFormat="0" applyFont="0" applyAlignment="0" applyProtection="0"/>
    <xf numFmtId="0" fontId="9" fillId="62" borderId="220" applyNumberFormat="0" applyFont="0" applyAlignment="0" applyProtection="0"/>
    <xf numFmtId="0" fontId="9" fillId="62" borderId="220" applyNumberFormat="0" applyFont="0" applyAlignment="0" applyProtection="0"/>
    <xf numFmtId="0" fontId="9" fillId="62" borderId="220" applyNumberFormat="0" applyFont="0" applyAlignment="0" applyProtection="0"/>
    <xf numFmtId="0" fontId="9" fillId="62" borderId="220" applyNumberFormat="0" applyFont="0" applyAlignment="0" applyProtection="0"/>
    <xf numFmtId="0" fontId="9" fillId="62" borderId="220" applyNumberFormat="0" applyFont="0" applyAlignment="0" applyProtection="0"/>
    <xf numFmtId="0" fontId="9" fillId="62" borderId="220" applyNumberFormat="0" applyFont="0" applyAlignment="0" applyProtection="0"/>
    <xf numFmtId="0" fontId="9" fillId="62" borderId="220" applyNumberFormat="0" applyFont="0" applyAlignment="0" applyProtection="0"/>
    <xf numFmtId="0" fontId="9" fillId="62" borderId="220" applyNumberFormat="0" applyFont="0" applyAlignment="0" applyProtection="0"/>
    <xf numFmtId="0" fontId="9" fillId="62" borderId="220" applyNumberFormat="0" applyFont="0" applyAlignment="0" applyProtection="0"/>
    <xf numFmtId="0" fontId="9" fillId="62" borderId="220" applyNumberFormat="0" applyFont="0" applyAlignment="0" applyProtection="0"/>
    <xf numFmtId="0" fontId="9" fillId="62" borderId="220" applyNumberFormat="0" applyFont="0" applyAlignment="0" applyProtection="0"/>
    <xf numFmtId="0" fontId="9" fillId="62" borderId="220" applyNumberFormat="0" applyFont="0" applyAlignment="0" applyProtection="0"/>
    <xf numFmtId="0" fontId="9" fillId="62" borderId="220" applyNumberFormat="0" applyFont="0" applyAlignment="0" applyProtection="0"/>
    <xf numFmtId="0" fontId="9" fillId="62" borderId="220" applyNumberFormat="0" applyFont="0" applyAlignment="0" applyProtection="0"/>
    <xf numFmtId="0" fontId="9" fillId="62" borderId="220" applyNumberFormat="0" applyFont="0" applyAlignment="0" applyProtection="0"/>
    <xf numFmtId="0" fontId="9" fillId="62" borderId="220" applyNumberFormat="0" applyFont="0" applyAlignment="0" applyProtection="0"/>
    <xf numFmtId="0" fontId="90" fillId="59" borderId="221" applyNumberFormat="0" applyAlignment="0" applyProtection="0"/>
    <xf numFmtId="0" fontId="90" fillId="59" borderId="221" applyNumberFormat="0" applyAlignment="0" applyProtection="0"/>
    <xf numFmtId="0" fontId="90" fillId="59" borderId="221" applyNumberFormat="0" applyAlignment="0" applyProtection="0"/>
    <xf numFmtId="0" fontId="90" fillId="59" borderId="221" applyNumberFormat="0" applyAlignment="0" applyProtection="0"/>
    <xf numFmtId="0" fontId="90" fillId="59" borderId="221" applyNumberFormat="0" applyAlignment="0" applyProtection="0"/>
    <xf numFmtId="0" fontId="90" fillId="59" borderId="221" applyNumberFormat="0" applyAlignment="0" applyProtection="0"/>
    <xf numFmtId="0" fontId="90" fillId="59" borderId="221" applyNumberFormat="0" applyAlignment="0" applyProtection="0"/>
    <xf numFmtId="0" fontId="90" fillId="59" borderId="221" applyNumberFormat="0" applyAlignment="0" applyProtection="0"/>
    <xf numFmtId="0" fontId="90" fillId="59" borderId="221" applyNumberFormat="0" applyAlignment="0" applyProtection="0"/>
    <xf numFmtId="0" fontId="90" fillId="59" borderId="221" applyNumberFormat="0" applyAlignment="0" applyProtection="0"/>
    <xf numFmtId="0" fontId="90" fillId="59" borderId="221" applyNumberFormat="0" applyAlignment="0" applyProtection="0"/>
    <xf numFmtId="0" fontId="90" fillId="59" borderId="221" applyNumberFormat="0" applyAlignment="0" applyProtection="0"/>
    <xf numFmtId="0" fontId="90" fillId="59" borderId="221" applyNumberFormat="0" applyAlignment="0" applyProtection="0"/>
    <xf numFmtId="0" fontId="90" fillId="59" borderId="221" applyNumberFormat="0" applyAlignment="0" applyProtection="0"/>
    <xf numFmtId="0" fontId="90" fillId="59" borderId="221" applyNumberFormat="0" applyAlignment="0" applyProtection="0"/>
    <xf numFmtId="0" fontId="90" fillId="59" borderId="221" applyNumberFormat="0" applyAlignment="0" applyProtection="0"/>
    <xf numFmtId="0" fontId="90" fillId="59" borderId="221" applyNumberFormat="0" applyAlignment="0" applyProtection="0"/>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10" fontId="11" fillId="3" borderId="224" applyNumberFormat="0" applyBorder="0" applyAlignment="0" applyProtection="0"/>
    <xf numFmtId="0" fontId="12" fillId="0" borderId="223">
      <alignment horizontal="left" vertical="center"/>
    </xf>
    <xf numFmtId="10" fontId="11" fillId="3" borderId="224" applyNumberFormat="0" applyBorder="0" applyAlignment="0" applyProtection="0"/>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10" fontId="11" fillId="3" borderId="224" applyNumberFormat="0" applyBorder="0" applyAlignment="0" applyProtection="0"/>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10" fontId="11" fillId="3" borderId="224" applyNumberFormat="0" applyBorder="0" applyAlignment="0" applyProtection="0"/>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10" fontId="11" fillId="3" borderId="224" applyNumberFormat="0" applyBorder="0" applyAlignment="0" applyProtection="0"/>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10" fontId="11" fillId="3" borderId="224" applyNumberFormat="0" applyBorder="0" applyAlignment="0" applyProtection="0"/>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10" fontId="11" fillId="3" borderId="224" applyNumberFormat="0" applyBorder="0" applyAlignment="0" applyProtection="0"/>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10" fontId="11" fillId="3" borderId="224" applyNumberFormat="0" applyBorder="0" applyAlignment="0" applyProtection="0"/>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10" fontId="11" fillId="3" borderId="224" applyNumberFormat="0" applyBorder="0" applyAlignment="0" applyProtection="0"/>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10" fontId="11" fillId="3" borderId="224" applyNumberFormat="0" applyBorder="0" applyAlignment="0" applyProtection="0"/>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0" fontId="12" fillId="0" borderId="223">
      <alignment horizontal="left" vertical="center"/>
    </xf>
    <xf numFmtId="10" fontId="11" fillId="3" borderId="224" applyNumberFormat="0" applyBorder="0" applyAlignment="0" applyProtection="0"/>
  </cellStyleXfs>
  <cellXfs count="880">
    <xf numFmtId="0" fontId="0" fillId="0" borderId="0" xfId="0"/>
    <xf numFmtId="0" fontId="19" fillId="0" borderId="0" xfId="16" applyFont="1" applyBorder="1"/>
    <xf numFmtId="37" fontId="19" fillId="0" borderId="6" xfId="0" applyNumberFormat="1" applyFont="1" applyBorder="1"/>
    <xf numFmtId="165" fontId="19" fillId="0" borderId="0" xfId="1" applyNumberFormat="1" applyFont="1" applyFill="1" applyBorder="1" applyAlignment="1">
      <alignment vertical="center"/>
    </xf>
    <xf numFmtId="165" fontId="19" fillId="0" borderId="0" xfId="17" applyNumberFormat="1" applyFont="1" applyFill="1" applyBorder="1" applyAlignment="1">
      <alignment vertical="center"/>
    </xf>
    <xf numFmtId="165" fontId="17" fillId="0" borderId="0" xfId="1" applyNumberFormat="1" applyFont="1" applyFill="1" applyBorder="1" applyAlignment="1">
      <alignment vertical="center"/>
    </xf>
    <xf numFmtId="10" fontId="19" fillId="0" borderId="0" xfId="18" applyNumberFormat="1" applyFont="1" applyFill="1" applyBorder="1" applyAlignment="1">
      <alignment vertical="center"/>
    </xf>
    <xf numFmtId="165" fontId="17" fillId="0" borderId="12" xfId="1" applyNumberFormat="1" applyFont="1" applyFill="1" applyBorder="1" applyAlignment="1">
      <alignment vertical="center"/>
    </xf>
    <xf numFmtId="0" fontId="17" fillId="0" borderId="0" xfId="17" applyFont="1" applyBorder="1" applyAlignment="1">
      <alignment horizontal="center" vertical="top" wrapText="1"/>
    </xf>
    <xf numFmtId="172" fontId="19" fillId="0" borderId="0" xfId="1" applyFont="1" applyBorder="1"/>
    <xf numFmtId="49" fontId="19" fillId="0" borderId="0" xfId="16" applyNumberFormat="1" applyFont="1" applyBorder="1" applyAlignment="1">
      <alignment horizontal="center"/>
    </xf>
    <xf numFmtId="0" fontId="19" fillId="0" borderId="0" xfId="0" applyFont="1" applyBorder="1"/>
    <xf numFmtId="0" fontId="19" fillId="0" borderId="0" xfId="0" applyFont="1"/>
    <xf numFmtId="37" fontId="19" fillId="0" borderId="0" xfId="0" applyNumberFormat="1" applyFont="1"/>
    <xf numFmtId="171" fontId="19" fillId="0" borderId="0" xfId="0" applyNumberFormat="1" applyFont="1"/>
    <xf numFmtId="5" fontId="19" fillId="0" borderId="6" xfId="17" applyNumberFormat="1" applyFont="1" applyFill="1" applyBorder="1"/>
    <xf numFmtId="5" fontId="19" fillId="0" borderId="6" xfId="1" applyNumberFormat="1" applyFont="1" applyFill="1" applyBorder="1"/>
    <xf numFmtId="5" fontId="19" fillId="0" borderId="18" xfId="1" applyNumberFormat="1" applyFont="1" applyFill="1" applyBorder="1" applyAlignment="1">
      <alignment horizontal="right"/>
    </xf>
    <xf numFmtId="5" fontId="17" fillId="0" borderId="18" xfId="1" applyNumberFormat="1" applyFont="1" applyFill="1" applyBorder="1" applyAlignment="1"/>
    <xf numFmtId="5" fontId="17" fillId="0" borderId="6" xfId="17" applyNumberFormat="1" applyFont="1" applyFill="1" applyBorder="1"/>
    <xf numFmtId="37" fontId="17" fillId="0" borderId="19" xfId="0" applyNumberFormat="1" applyFont="1" applyFill="1" applyBorder="1"/>
    <xf numFmtId="169" fontId="19" fillId="0" borderId="3" xfId="17" applyNumberFormat="1" applyFont="1" applyBorder="1" applyAlignment="1">
      <alignment vertical="center"/>
    </xf>
    <xf numFmtId="37" fontId="19" fillId="0" borderId="0" xfId="0" applyNumberFormat="1" applyFont="1" applyFill="1" applyBorder="1"/>
    <xf numFmtId="10" fontId="19" fillId="0" borderId="0" xfId="18" applyNumberFormat="1" applyFont="1" applyFill="1" applyBorder="1"/>
    <xf numFmtId="165" fontId="19" fillId="0" borderId="6" xfId="1" applyNumberFormat="1" applyFont="1" applyFill="1" applyBorder="1" applyAlignment="1">
      <alignment vertical="center"/>
    </xf>
    <xf numFmtId="37" fontId="19" fillId="0" borderId="7" xfId="0" applyNumberFormat="1" applyFont="1" applyBorder="1"/>
    <xf numFmtId="37" fontId="19" fillId="0" borderId="13" xfId="0" applyNumberFormat="1" applyFont="1" applyBorder="1"/>
    <xf numFmtId="37" fontId="19" fillId="0" borderId="5" xfId="0" applyNumberFormat="1" applyFont="1" applyBorder="1"/>
    <xf numFmtId="37" fontId="19" fillId="0" borderId="0" xfId="0" applyNumberFormat="1" applyFont="1" applyBorder="1"/>
    <xf numFmtId="37" fontId="17" fillId="0" borderId="8" xfId="0" applyNumberFormat="1" applyFont="1" applyFill="1" applyBorder="1"/>
    <xf numFmtId="37" fontId="17" fillId="0" borderId="12" xfId="0" applyNumberFormat="1" applyFont="1" applyFill="1" applyBorder="1"/>
    <xf numFmtId="37" fontId="17" fillId="0" borderId="5" xfId="0" applyNumberFormat="1" applyFont="1" applyFill="1" applyBorder="1"/>
    <xf numFmtId="37" fontId="17" fillId="0" borderId="0" xfId="0" applyNumberFormat="1" applyFont="1" applyFill="1" applyBorder="1"/>
    <xf numFmtId="37" fontId="19" fillId="0" borderId="5" xfId="0" applyNumberFormat="1" applyFont="1" applyFill="1" applyBorder="1"/>
    <xf numFmtId="5" fontId="19" fillId="0" borderId="22" xfId="4" applyFont="1" applyBorder="1" applyAlignment="1">
      <alignment vertical="center" wrapText="1"/>
    </xf>
    <xf numFmtId="5" fontId="17" fillId="0" borderId="23" xfId="4" applyFont="1" applyBorder="1" applyAlignment="1">
      <alignment vertical="center" wrapText="1"/>
    </xf>
    <xf numFmtId="0" fontId="17" fillId="0" borderId="0" xfId="0" applyFont="1" applyBorder="1" applyAlignment="1">
      <alignment horizontal="center"/>
    </xf>
    <xf numFmtId="0" fontId="17" fillId="0" borderId="0" xfId="0" applyNumberFormat="1" applyFont="1" applyBorder="1" applyAlignment="1">
      <alignment horizontal="center" wrapText="1"/>
    </xf>
    <xf numFmtId="37" fontId="19" fillId="0" borderId="6" xfId="0" applyNumberFormat="1" applyFont="1" applyFill="1" applyBorder="1"/>
    <xf numFmtId="0" fontId="19" fillId="0" borderId="0" xfId="0" applyFont="1" applyBorder="1" applyAlignment="1">
      <alignment horizontal="left" vertical="top" wrapText="1"/>
    </xf>
    <xf numFmtId="0" fontId="19" fillId="0" borderId="24" xfId="0" applyFont="1" applyFill="1" applyBorder="1" applyAlignment="1">
      <alignment vertical="top" wrapText="1"/>
    </xf>
    <xf numFmtId="37" fontId="17" fillId="0" borderId="8" xfId="0" applyNumberFormat="1" applyFont="1" applyBorder="1"/>
    <xf numFmtId="37" fontId="17" fillId="0" borderId="12" xfId="0" applyNumberFormat="1" applyFont="1" applyBorder="1"/>
    <xf numFmtId="5" fontId="17" fillId="0" borderId="6" xfId="1" applyNumberFormat="1" applyFont="1" applyFill="1" applyBorder="1"/>
    <xf numFmtId="0" fontId="19" fillId="0" borderId="25" xfId="0" applyFont="1" applyFill="1" applyBorder="1" applyAlignment="1">
      <alignment vertical="top" wrapText="1"/>
    </xf>
    <xf numFmtId="0" fontId="17" fillId="0" borderId="24" xfId="0" applyFont="1" applyFill="1" applyBorder="1" applyAlignment="1">
      <alignment horizontal="left" vertical="center" wrapText="1"/>
    </xf>
    <xf numFmtId="10" fontId="19" fillId="0" borderId="6" xfId="18" applyNumberFormat="1" applyFont="1" applyFill="1" applyBorder="1"/>
    <xf numFmtId="37" fontId="17" fillId="0" borderId="6" xfId="0" applyNumberFormat="1" applyFont="1" applyFill="1" applyBorder="1"/>
    <xf numFmtId="10" fontId="19" fillId="0" borderId="5" xfId="18" applyNumberFormat="1" applyFont="1" applyFill="1" applyBorder="1"/>
    <xf numFmtId="37" fontId="19" fillId="0" borderId="7" xfId="0" applyNumberFormat="1" applyFont="1" applyFill="1" applyBorder="1"/>
    <xf numFmtId="37" fontId="19" fillId="0" borderId="13" xfId="0" applyNumberFormat="1" applyFont="1" applyFill="1" applyBorder="1"/>
    <xf numFmtId="37" fontId="19" fillId="0" borderId="11" xfId="0" applyNumberFormat="1" applyFont="1" applyFill="1" applyBorder="1"/>
    <xf numFmtId="37" fontId="17" fillId="0" borderId="5" xfId="0" applyNumberFormat="1" applyFont="1" applyBorder="1"/>
    <xf numFmtId="37" fontId="17" fillId="0" borderId="0" xfId="0" applyNumberFormat="1" applyFont="1" applyBorder="1"/>
    <xf numFmtId="0" fontId="17" fillId="0" borderId="0" xfId="0" applyFont="1" applyBorder="1" applyAlignment="1">
      <alignment horizontal="center" vertical="center"/>
    </xf>
    <xf numFmtId="0" fontId="17" fillId="0" borderId="0" xfId="17" applyFont="1" applyBorder="1" applyAlignment="1">
      <alignment horizontal="center" vertical="center"/>
    </xf>
    <xf numFmtId="165" fontId="19" fillId="0" borderId="0" xfId="1" applyNumberFormat="1" applyFont="1" applyFill="1" applyBorder="1" applyAlignment="1">
      <alignment horizontal="right" vertical="center"/>
    </xf>
    <xf numFmtId="165" fontId="17" fillId="0" borderId="0" xfId="1" applyNumberFormat="1" applyFont="1" applyFill="1" applyBorder="1" applyAlignment="1">
      <alignment horizontal="right" vertical="center"/>
    </xf>
    <xf numFmtId="0" fontId="19" fillId="0" borderId="33" xfId="0" applyFont="1" applyFill="1" applyBorder="1" applyAlignment="1">
      <alignment horizontal="left" vertical="center" wrapText="1"/>
    </xf>
    <xf numFmtId="5" fontId="19" fillId="0" borderId="19" xfId="17" applyNumberFormat="1" applyFont="1" applyFill="1" applyBorder="1"/>
    <xf numFmtId="165" fontId="17" fillId="0" borderId="10" xfId="1" applyNumberFormat="1" applyFont="1" applyFill="1" applyBorder="1" applyAlignment="1">
      <alignment vertical="center"/>
    </xf>
    <xf numFmtId="5" fontId="17" fillId="0" borderId="10" xfId="17" applyNumberFormat="1" applyFont="1" applyFill="1" applyBorder="1"/>
    <xf numFmtId="5" fontId="19" fillId="0" borderId="22" xfId="4" applyFont="1" applyFill="1" applyBorder="1" applyAlignment="1">
      <alignment vertical="center" wrapText="1"/>
    </xf>
    <xf numFmtId="37" fontId="19" fillId="0" borderId="0" xfId="1" applyNumberFormat="1" applyFont="1" applyFill="1" applyBorder="1" applyAlignment="1">
      <alignment vertical="center"/>
    </xf>
    <xf numFmtId="37" fontId="19" fillId="0" borderId="0" xfId="17" applyNumberFormat="1" applyFont="1" applyFill="1" applyBorder="1" applyAlignment="1">
      <alignment vertical="center"/>
    </xf>
    <xf numFmtId="41" fontId="19" fillId="0" borderId="0" xfId="1" applyNumberFormat="1" applyFont="1" applyFill="1" applyBorder="1" applyAlignment="1">
      <alignment vertical="center"/>
    </xf>
    <xf numFmtId="3" fontId="17" fillId="0" borderId="2" xfId="17" applyNumberFormat="1" applyFont="1" applyFill="1" applyBorder="1" applyAlignment="1">
      <alignment horizontal="center" vertical="center" wrapText="1"/>
    </xf>
    <xf numFmtId="172" fontId="19" fillId="0" borderId="0" xfId="1" applyFont="1" applyFill="1" applyBorder="1" applyAlignment="1">
      <alignment vertical="center"/>
    </xf>
    <xf numFmtId="37" fontId="19" fillId="0" borderId="3" xfId="0" applyNumberFormat="1" applyFont="1" applyFill="1" applyBorder="1"/>
    <xf numFmtId="37" fontId="19" fillId="0" borderId="35" xfId="0" applyNumberFormat="1" applyFont="1" applyFill="1" applyBorder="1"/>
    <xf numFmtId="37" fontId="19" fillId="0" borderId="45" xfId="0" applyNumberFormat="1" applyFont="1" applyFill="1" applyBorder="1"/>
    <xf numFmtId="37" fontId="19" fillId="0" borderId="37" xfId="0" applyNumberFormat="1" applyFont="1" applyFill="1" applyBorder="1"/>
    <xf numFmtId="37" fontId="19" fillId="0" borderId="43" xfId="0" applyNumberFormat="1" applyFont="1" applyFill="1" applyBorder="1"/>
    <xf numFmtId="37" fontId="19" fillId="0" borderId="44" xfId="0" applyNumberFormat="1" applyFont="1" applyFill="1" applyBorder="1"/>
    <xf numFmtId="0" fontId="17" fillId="0" borderId="0" xfId="17" applyNumberFormat="1" applyFont="1" applyFill="1" applyBorder="1" applyAlignment="1">
      <alignment horizontal="center" vertical="center" wrapText="1"/>
    </xf>
    <xf numFmtId="0" fontId="17" fillId="0" borderId="9" xfId="0" applyNumberFormat="1" applyFont="1" applyBorder="1" applyAlignment="1">
      <alignment horizontal="center" vertical="center" wrapText="1"/>
    </xf>
    <xf numFmtId="0" fontId="17" fillId="0" borderId="2" xfId="0" applyNumberFormat="1" applyFont="1" applyBorder="1" applyAlignment="1">
      <alignment horizontal="center" vertical="center" wrapText="1"/>
    </xf>
    <xf numFmtId="0" fontId="17" fillId="0" borderId="10" xfId="0" applyNumberFormat="1" applyFont="1" applyBorder="1" applyAlignment="1">
      <alignment horizontal="center" vertical="center" wrapText="1"/>
    </xf>
    <xf numFmtId="0" fontId="19" fillId="0" borderId="14" xfId="0" applyFont="1" applyBorder="1" applyAlignment="1">
      <alignment vertical="center" wrapText="1"/>
    </xf>
    <xf numFmtId="0" fontId="17" fillId="0" borderId="14" xfId="0" applyFont="1" applyBorder="1" applyAlignment="1">
      <alignment horizontal="center" vertical="center" wrapText="1"/>
    </xf>
    <xf numFmtId="170" fontId="17" fillId="0" borderId="1" xfId="4" applyNumberFormat="1" applyFont="1" applyFill="1" applyBorder="1" applyAlignment="1">
      <alignment horizontal="center" vertical="center" wrapText="1"/>
    </xf>
    <xf numFmtId="5" fontId="17" fillId="0" borderId="14" xfId="4" applyFont="1" applyFill="1" applyBorder="1" applyAlignment="1">
      <alignment horizontal="center" vertical="center" wrapText="1"/>
    </xf>
    <xf numFmtId="165" fontId="19" fillId="0" borderId="15" xfId="1" applyNumberFormat="1" applyFont="1" applyFill="1" applyBorder="1" applyAlignment="1">
      <alignment vertical="center"/>
    </xf>
    <xf numFmtId="165" fontId="19" fillId="0" borderId="1" xfId="1" applyNumberFormat="1" applyFont="1" applyFill="1" applyBorder="1" applyAlignment="1">
      <alignment vertical="center"/>
    </xf>
    <xf numFmtId="165" fontId="19" fillId="0" borderId="14" xfId="1" applyNumberFormat="1" applyFont="1" applyFill="1" applyBorder="1" applyAlignment="1">
      <alignment vertical="center"/>
    </xf>
    <xf numFmtId="0" fontId="19" fillId="0" borderId="14" xfId="0" applyFont="1" applyBorder="1" applyAlignment="1">
      <alignment vertical="center"/>
    </xf>
    <xf numFmtId="0" fontId="17" fillId="0" borderId="14" xfId="0" applyFont="1" applyBorder="1" applyAlignment="1">
      <alignment horizontal="center" vertical="center"/>
    </xf>
    <xf numFmtId="5" fontId="19" fillId="0" borderId="0" xfId="4" applyNumberFormat="1" applyFont="1" applyFill="1" applyBorder="1" applyAlignment="1">
      <alignment vertical="center"/>
    </xf>
    <xf numFmtId="5" fontId="19" fillId="0" borderId="15" xfId="4" applyNumberFormat="1" applyFont="1" applyFill="1" applyBorder="1" applyAlignment="1">
      <alignment vertical="center"/>
    </xf>
    <xf numFmtId="5" fontId="19" fillId="0" borderId="1" xfId="4" applyNumberFormat="1" applyFont="1" applyFill="1" applyBorder="1" applyAlignment="1">
      <alignment vertical="center"/>
    </xf>
    <xf numFmtId="5" fontId="19" fillId="0" borderId="14" xfId="4" applyNumberFormat="1" applyFont="1" applyFill="1" applyBorder="1" applyAlignment="1">
      <alignment vertical="center"/>
    </xf>
    <xf numFmtId="165" fontId="19" fillId="0" borderId="0" xfId="1" applyNumberFormat="1" applyFont="1" applyFill="1" applyBorder="1" applyAlignment="1">
      <alignment vertical="center" wrapText="1"/>
    </xf>
    <xf numFmtId="165" fontId="19" fillId="0" borderId="15" xfId="4" applyNumberFormat="1" applyFont="1" applyFill="1" applyBorder="1" applyAlignment="1">
      <alignment vertical="center"/>
    </xf>
    <xf numFmtId="5" fontId="17" fillId="0" borderId="1" xfId="4" applyNumberFormat="1" applyFont="1" applyFill="1" applyBorder="1" applyAlignment="1">
      <alignment vertical="center"/>
    </xf>
    <xf numFmtId="5" fontId="17" fillId="0" borderId="14" xfId="4" applyNumberFormat="1" applyFont="1" applyFill="1" applyBorder="1" applyAlignment="1">
      <alignment vertical="center"/>
    </xf>
    <xf numFmtId="5" fontId="24" fillId="0" borderId="0" xfId="22" applyFont="1"/>
    <xf numFmtId="10" fontId="19" fillId="0" borderId="0" xfId="18" applyFont="1"/>
    <xf numFmtId="164" fontId="19" fillId="0" borderId="0" xfId="18" applyNumberFormat="1" applyFont="1"/>
    <xf numFmtId="10" fontId="19" fillId="0" borderId="0" xfId="0" applyNumberFormat="1" applyFont="1"/>
    <xf numFmtId="164" fontId="19" fillId="0" borderId="0" xfId="18" applyNumberFormat="1" applyFont="1" applyBorder="1"/>
    <xf numFmtId="166" fontId="19" fillId="0" borderId="0" xfId="18" applyNumberFormat="1" applyFont="1"/>
    <xf numFmtId="173" fontId="19" fillId="0" borderId="0" xfId="0" applyNumberFormat="1" applyFont="1"/>
    <xf numFmtId="173" fontId="19" fillId="0" borderId="0" xfId="0" applyNumberFormat="1" applyFont="1" applyBorder="1"/>
    <xf numFmtId="0" fontId="17" fillId="0" borderId="0" xfId="0" applyFont="1" applyAlignment="1">
      <alignment horizontal="center" vertical="center" wrapText="1"/>
    </xf>
    <xf numFmtId="166" fontId="19" fillId="0" borderId="0" xfId="18" applyNumberFormat="1" applyFont="1" applyBorder="1"/>
    <xf numFmtId="0" fontId="19" fillId="0" borderId="0" xfId="0" applyFont="1" applyAlignment="1">
      <alignment wrapText="1"/>
    </xf>
    <xf numFmtId="172" fontId="19" fillId="0" borderId="0" xfId="1" applyFont="1" applyAlignment="1">
      <alignment wrapText="1"/>
    </xf>
    <xf numFmtId="0" fontId="19" fillId="0" borderId="12" xfId="0" applyFont="1" applyBorder="1"/>
    <xf numFmtId="14" fontId="19" fillId="0" borderId="0" xfId="0" applyNumberFormat="1" applyFont="1" applyAlignment="1">
      <alignment wrapText="1"/>
    </xf>
    <xf numFmtId="173" fontId="19" fillId="0" borderId="13" xfId="0" applyNumberFormat="1" applyFont="1" applyBorder="1"/>
    <xf numFmtId="0" fontId="19" fillId="0" borderId="13" xfId="0" applyFont="1" applyBorder="1"/>
    <xf numFmtId="0" fontId="19" fillId="0" borderId="3" xfId="0" applyFont="1" applyBorder="1"/>
    <xf numFmtId="0" fontId="19" fillId="0" borderId="3" xfId="0" applyFont="1" applyBorder="1" applyAlignment="1">
      <alignment horizontal="center" vertical="center"/>
    </xf>
    <xf numFmtId="0" fontId="19" fillId="0" borderId="17" xfId="0" applyFont="1" applyBorder="1" applyAlignment="1">
      <alignment horizontal="center" vertical="center"/>
    </xf>
    <xf numFmtId="166" fontId="19" fillId="0" borderId="13" xfId="18" applyNumberFormat="1" applyFont="1" applyBorder="1"/>
    <xf numFmtId="172" fontId="19" fillId="0" borderId="11" xfId="1" applyFont="1" applyBorder="1"/>
    <xf numFmtId="172" fontId="19" fillId="0" borderId="3" xfId="1" applyFont="1" applyBorder="1"/>
    <xf numFmtId="37" fontId="19" fillId="0" borderId="3" xfId="0" applyNumberFormat="1" applyFont="1" applyBorder="1"/>
    <xf numFmtId="172" fontId="19" fillId="0" borderId="3" xfId="0" applyNumberFormat="1" applyFont="1" applyBorder="1"/>
    <xf numFmtId="10" fontId="19" fillId="0" borderId="3" xfId="18" applyFont="1" applyBorder="1"/>
    <xf numFmtId="172" fontId="17" fillId="0" borderId="3" xfId="1" applyFont="1" applyBorder="1"/>
    <xf numFmtId="172" fontId="17" fillId="0" borderId="20" xfId="1" applyFont="1" applyBorder="1"/>
    <xf numFmtId="172" fontId="19" fillId="0" borderId="20" xfId="1" applyFont="1" applyBorder="1"/>
    <xf numFmtId="0" fontId="25" fillId="0" borderId="0" xfId="13" applyFont="1" applyAlignment="1" applyProtection="1"/>
    <xf numFmtId="0" fontId="19" fillId="0" borderId="43" xfId="0" applyFont="1" applyBorder="1"/>
    <xf numFmtId="165" fontId="19" fillId="0" borderId="0" xfId="0" applyNumberFormat="1" applyFont="1"/>
    <xf numFmtId="17" fontId="19" fillId="0" borderId="0" xfId="0" applyNumberFormat="1" applyFont="1"/>
    <xf numFmtId="165" fontId="19" fillId="0" borderId="34" xfId="0" applyNumberFormat="1" applyFont="1" applyBorder="1"/>
    <xf numFmtId="165" fontId="19" fillId="0" borderId="3" xfId="0" applyNumberFormat="1" applyFont="1" applyBorder="1"/>
    <xf numFmtId="165" fontId="19" fillId="0" borderId="36" xfId="0" applyNumberFormat="1" applyFont="1" applyBorder="1"/>
    <xf numFmtId="165" fontId="19" fillId="0" borderId="45" xfId="0" applyNumberFormat="1" applyFont="1" applyBorder="1"/>
    <xf numFmtId="0" fontId="19" fillId="0" borderId="45" xfId="0" applyFont="1" applyBorder="1"/>
    <xf numFmtId="165" fontId="19" fillId="0" borderId="42" xfId="0" applyNumberFormat="1" applyFont="1" applyBorder="1"/>
    <xf numFmtId="165" fontId="19" fillId="0" borderId="43" xfId="0" applyNumberFormat="1" applyFont="1" applyBorder="1"/>
    <xf numFmtId="165" fontId="19" fillId="0" borderId="46" xfId="0" applyNumberFormat="1" applyFont="1" applyBorder="1"/>
    <xf numFmtId="0" fontId="19" fillId="0" borderId="34" xfId="0" applyFont="1" applyBorder="1"/>
    <xf numFmtId="0" fontId="19" fillId="0" borderId="35" xfId="0" applyFont="1" applyBorder="1"/>
    <xf numFmtId="173" fontId="19" fillId="0" borderId="10" xfId="0" applyNumberFormat="1" applyFont="1" applyBorder="1"/>
    <xf numFmtId="166" fontId="19" fillId="0" borderId="3" xfId="18" applyNumberFormat="1" applyFont="1" applyBorder="1"/>
    <xf numFmtId="172" fontId="19" fillId="0" borderId="35" xfId="1" applyFont="1" applyBorder="1"/>
    <xf numFmtId="0" fontId="19" fillId="0" borderId="36" xfId="0" applyFont="1" applyBorder="1"/>
    <xf numFmtId="0" fontId="19" fillId="0" borderId="37" xfId="0" applyFont="1" applyBorder="1"/>
    <xf numFmtId="173" fontId="19" fillId="0" borderId="47" xfId="0" applyNumberFormat="1" applyFont="1" applyBorder="1"/>
    <xf numFmtId="166" fontId="19" fillId="0" borderId="45" xfId="18" applyNumberFormat="1" applyFont="1" applyBorder="1"/>
    <xf numFmtId="172" fontId="19" fillId="0" borderId="37" xfId="1" applyFont="1" applyBorder="1"/>
    <xf numFmtId="0" fontId="19" fillId="0" borderId="0" xfId="0" applyFont="1" applyFill="1"/>
    <xf numFmtId="173" fontId="19" fillId="0" borderId="0" xfId="0" applyNumberFormat="1" applyFont="1" applyFill="1" applyBorder="1"/>
    <xf numFmtId="166" fontId="19" fillId="0" borderId="0" xfId="18" applyNumberFormat="1" applyFont="1" applyFill="1" applyBorder="1"/>
    <xf numFmtId="172" fontId="19" fillId="0" borderId="0" xfId="1" applyFont="1" applyFill="1" applyBorder="1"/>
    <xf numFmtId="0" fontId="19" fillId="0" borderId="0" xfId="0" applyFont="1" applyFill="1" applyBorder="1"/>
    <xf numFmtId="0" fontId="19" fillId="0" borderId="0" xfId="17" applyFont="1" applyFill="1" applyBorder="1" applyAlignment="1">
      <alignment horizontal="left" vertical="center"/>
    </xf>
    <xf numFmtId="10" fontId="19" fillId="0" borderId="0" xfId="18" applyFont="1" applyFill="1" applyBorder="1" applyAlignment="1">
      <alignment horizontal="left" vertical="center"/>
    </xf>
    <xf numFmtId="0" fontId="19" fillId="0" borderId="0" xfId="0" applyFont="1" applyFill="1" applyBorder="1" applyAlignment="1">
      <alignment horizontal="left" wrapText="1"/>
    </xf>
    <xf numFmtId="173" fontId="19" fillId="0" borderId="0" xfId="0" applyNumberFormat="1" applyFont="1" applyFill="1"/>
    <xf numFmtId="37" fontId="19" fillId="0" borderId="0" xfId="0" applyNumberFormat="1" applyFont="1" applyFill="1" applyBorder="1" applyAlignment="1">
      <alignment horizontal="left" wrapText="1"/>
    </xf>
    <xf numFmtId="166" fontId="19" fillId="0" borderId="0" xfId="18" applyNumberFormat="1" applyFont="1" applyFill="1" applyBorder="1" applyAlignment="1">
      <alignment horizontal="left" wrapText="1"/>
    </xf>
    <xf numFmtId="0" fontId="19" fillId="0" borderId="0" xfId="17" applyFont="1"/>
    <xf numFmtId="0" fontId="19" fillId="0" borderId="0" xfId="17" applyFont="1" applyFill="1" applyBorder="1"/>
    <xf numFmtId="165" fontId="19" fillId="0" borderId="0" xfId="1" applyNumberFormat="1" applyFont="1"/>
    <xf numFmtId="165" fontId="19" fillId="0" borderId="0" xfId="17" applyNumberFormat="1" applyFont="1"/>
    <xf numFmtId="172" fontId="19" fillId="0" borderId="0" xfId="1" applyFont="1"/>
    <xf numFmtId="5" fontId="19" fillId="0" borderId="0" xfId="17" applyNumberFormat="1" applyFont="1"/>
    <xf numFmtId="5" fontId="19" fillId="0" borderId="0" xfId="4" applyFont="1" applyFill="1" applyBorder="1"/>
    <xf numFmtId="165" fontId="19" fillId="0" borderId="0" xfId="0" applyNumberFormat="1" applyFont="1" applyBorder="1"/>
    <xf numFmtId="0" fontId="19" fillId="0" borderId="0" xfId="17" applyFont="1" applyBorder="1"/>
    <xf numFmtId="167" fontId="19" fillId="0" borderId="0" xfId="17" applyNumberFormat="1" applyFont="1"/>
    <xf numFmtId="10" fontId="19" fillId="0" borderId="0" xfId="18" applyNumberFormat="1" applyFont="1" applyBorder="1"/>
    <xf numFmtId="10" fontId="19" fillId="0" borderId="0" xfId="17" applyNumberFormat="1" applyFont="1" applyBorder="1"/>
    <xf numFmtId="0" fontId="19" fillId="0" borderId="0" xfId="17" applyFont="1" applyFill="1"/>
    <xf numFmtId="5" fontId="19" fillId="0" borderId="0" xfId="4" applyFont="1"/>
    <xf numFmtId="5" fontId="19" fillId="0" borderId="0" xfId="0" applyNumberFormat="1" applyFont="1"/>
    <xf numFmtId="0" fontId="19" fillId="0" borderId="0" xfId="0" applyNumberFormat="1" applyFont="1"/>
    <xf numFmtId="0" fontId="26" fillId="0" borderId="0" xfId="0" applyFont="1"/>
    <xf numFmtId="172" fontId="19" fillId="0" borderId="0" xfId="0" applyNumberFormat="1" applyFont="1"/>
    <xf numFmtId="0" fontId="19" fillId="0" borderId="0" xfId="17" applyFont="1" applyFill="1" applyBorder="1" applyAlignment="1">
      <alignment vertical="center" wrapText="1"/>
    </xf>
    <xf numFmtId="0" fontId="19" fillId="0" borderId="0" xfId="0" applyFont="1" applyAlignment="1">
      <alignment vertical="top"/>
    </xf>
    <xf numFmtId="165" fontId="19" fillId="0" borderId="0" xfId="1" applyNumberFormat="1" applyFont="1" applyFill="1"/>
    <xf numFmtId="10" fontId="19" fillId="0" borderId="0" xfId="18" applyFont="1" applyFill="1"/>
    <xf numFmtId="0" fontId="19" fillId="0" borderId="0" xfId="17" applyFont="1" applyAlignment="1">
      <alignment vertical="center"/>
    </xf>
    <xf numFmtId="165" fontId="19" fillId="0" borderId="0" xfId="17" applyNumberFormat="1" applyFont="1" applyAlignment="1">
      <alignment vertical="center"/>
    </xf>
    <xf numFmtId="0" fontId="19" fillId="0" borderId="0" xfId="17" applyFont="1" applyFill="1" applyAlignment="1">
      <alignment vertical="center"/>
    </xf>
    <xf numFmtId="165" fontId="19" fillId="0" borderId="0" xfId="17" applyNumberFormat="1" applyFont="1" applyFill="1" applyAlignment="1">
      <alignment vertical="center"/>
    </xf>
    <xf numFmtId="37" fontId="19" fillId="0" borderId="0" xfId="17" applyNumberFormat="1" applyFont="1" applyFill="1" applyAlignment="1">
      <alignment vertical="center"/>
    </xf>
    <xf numFmtId="37" fontId="19" fillId="0" borderId="0" xfId="17" applyNumberFormat="1" applyFont="1" applyAlignment="1">
      <alignment vertical="center"/>
    </xf>
    <xf numFmtId="165" fontId="17" fillId="0" borderId="0" xfId="17" applyNumberFormat="1" applyFont="1" applyAlignment="1">
      <alignment vertical="center"/>
    </xf>
    <xf numFmtId="0" fontId="17" fillId="0" borderId="0" xfId="17" applyFont="1" applyFill="1" applyAlignment="1">
      <alignment vertical="center"/>
    </xf>
    <xf numFmtId="165" fontId="17" fillId="0" borderId="0" xfId="17" applyNumberFormat="1" applyFont="1" applyFill="1" applyAlignment="1">
      <alignment vertical="center"/>
    </xf>
    <xf numFmtId="10" fontId="19" fillId="0" borderId="0" xfId="18" applyFont="1" applyAlignment="1">
      <alignment vertical="center"/>
    </xf>
    <xf numFmtId="10" fontId="19" fillId="0" borderId="0" xfId="18" applyFont="1" applyFill="1" applyAlignment="1">
      <alignment vertical="center"/>
    </xf>
    <xf numFmtId="166" fontId="19" fillId="0" borderId="0" xfId="18" applyNumberFormat="1" applyFont="1" applyFill="1" applyAlignment="1">
      <alignment vertical="center"/>
    </xf>
    <xf numFmtId="164" fontId="19" fillId="0" borderId="0" xfId="18" applyNumberFormat="1" applyFont="1" applyFill="1" applyAlignment="1">
      <alignment vertical="center"/>
    </xf>
    <xf numFmtId="0" fontId="17" fillId="4" borderId="25" xfId="17" applyFont="1" applyFill="1" applyBorder="1" applyAlignment="1">
      <alignment vertical="center"/>
    </xf>
    <xf numFmtId="0" fontId="17" fillId="4" borderId="16" xfId="17" applyFont="1" applyFill="1" applyBorder="1" applyAlignment="1">
      <alignment vertical="center"/>
    </xf>
    <xf numFmtId="0" fontId="19" fillId="0" borderId="0" xfId="0" applyFont="1" applyBorder="1" applyAlignment="1">
      <alignment vertical="center" wrapText="1"/>
    </xf>
    <xf numFmtId="0" fontId="19" fillId="0" borderId="0" xfId="0" applyFont="1" applyAlignment="1">
      <alignment vertical="center" wrapText="1"/>
    </xf>
    <xf numFmtId="10" fontId="19" fillId="0" borderId="0" xfId="18" applyFont="1" applyAlignment="1">
      <alignment vertical="center" wrapText="1"/>
    </xf>
    <xf numFmtId="0" fontId="19" fillId="0" borderId="0" xfId="0" applyFont="1" applyFill="1" applyAlignment="1">
      <alignment vertical="center" wrapText="1"/>
    </xf>
    <xf numFmtId="0" fontId="19" fillId="0" borderId="15" xfId="0" applyFont="1" applyBorder="1" applyAlignment="1">
      <alignment vertical="center" wrapText="1"/>
    </xf>
    <xf numFmtId="5" fontId="19" fillId="0" borderId="15" xfId="4" applyNumberFormat="1" applyFont="1" applyFill="1" applyBorder="1" applyAlignment="1">
      <alignment vertical="center" wrapText="1"/>
    </xf>
    <xf numFmtId="0" fontId="17" fillId="0" borderId="14" xfId="0" applyFont="1" applyBorder="1" applyAlignment="1">
      <alignment vertical="center" wrapText="1"/>
    </xf>
    <xf numFmtId="5" fontId="19" fillId="0" borderId="1" xfId="4" applyNumberFormat="1" applyFont="1" applyFill="1" applyBorder="1" applyAlignment="1">
      <alignment vertical="center" wrapText="1"/>
    </xf>
    <xf numFmtId="5" fontId="19" fillId="0" borderId="14" xfId="4" applyNumberFormat="1" applyFont="1" applyFill="1" applyBorder="1" applyAlignment="1">
      <alignment vertical="center" wrapText="1"/>
    </xf>
    <xf numFmtId="5" fontId="19" fillId="0" borderId="0" xfId="0" applyNumberFormat="1" applyFont="1" applyAlignment="1">
      <alignment vertical="center" wrapText="1"/>
    </xf>
    <xf numFmtId="0" fontId="19" fillId="0" borderId="15" xfId="0" applyFont="1" applyFill="1" applyBorder="1" applyAlignment="1">
      <alignment vertical="center" wrapText="1"/>
    </xf>
    <xf numFmtId="0" fontId="17" fillId="0" borderId="15" xfId="0" applyFont="1" applyFill="1" applyBorder="1" applyAlignment="1">
      <alignment vertical="center" wrapText="1"/>
    </xf>
    <xf numFmtId="165" fontId="19" fillId="0" borderId="15" xfId="4" applyNumberFormat="1" applyFont="1" applyFill="1" applyBorder="1" applyAlignment="1">
      <alignment vertical="center" wrapText="1"/>
    </xf>
    <xf numFmtId="0" fontId="17" fillId="0" borderId="0" xfId="0" applyFont="1" applyFill="1" applyAlignment="1">
      <alignment vertical="center" wrapText="1"/>
    </xf>
    <xf numFmtId="5" fontId="17" fillId="0" borderId="1" xfId="4" applyNumberFormat="1" applyFont="1" applyFill="1" applyBorder="1" applyAlignment="1">
      <alignment vertical="center" wrapText="1"/>
    </xf>
    <xf numFmtId="5" fontId="17" fillId="0" borderId="14" xfId="4" applyNumberFormat="1" applyFont="1" applyFill="1" applyBorder="1" applyAlignment="1">
      <alignment vertical="center" wrapText="1"/>
    </xf>
    <xf numFmtId="5" fontId="19" fillId="0" borderId="0" xfId="4" applyFont="1" applyAlignment="1">
      <alignment vertical="center" wrapText="1"/>
    </xf>
    <xf numFmtId="5" fontId="19" fillId="0" borderId="0" xfId="4" applyFont="1" applyAlignment="1">
      <alignment vertical="center"/>
    </xf>
    <xf numFmtId="7" fontId="19" fillId="0" borderId="0" xfId="0" applyNumberFormat="1" applyFont="1" applyAlignment="1">
      <alignment vertical="center" wrapText="1"/>
    </xf>
    <xf numFmtId="165" fontId="19" fillId="0" borderId="13" xfId="1" applyNumberFormat="1" applyFont="1" applyFill="1" applyBorder="1" applyAlignment="1">
      <alignment vertical="center"/>
    </xf>
    <xf numFmtId="37" fontId="19" fillId="0" borderId="13" xfId="1" applyNumberFormat="1" applyFont="1" applyFill="1" applyBorder="1" applyAlignment="1">
      <alignment vertical="center"/>
    </xf>
    <xf numFmtId="37" fontId="19" fillId="0" borderId="0" xfId="1" applyNumberFormat="1" applyFont="1" applyBorder="1" applyAlignment="1">
      <alignment vertical="center"/>
    </xf>
    <xf numFmtId="0" fontId="17" fillId="0" borderId="54" xfId="17" applyFont="1" applyBorder="1" applyAlignment="1">
      <alignment horizontal="center" vertical="center"/>
    </xf>
    <xf numFmtId="0" fontId="17" fillId="0" borderId="55" xfId="17" applyFont="1" applyFill="1" applyBorder="1" applyAlignment="1">
      <alignment horizontal="center" vertical="center"/>
    </xf>
    <xf numFmtId="169" fontId="19" fillId="0" borderId="24" xfId="17" applyNumberFormat="1" applyFont="1" applyBorder="1" applyAlignment="1">
      <alignment vertical="center"/>
    </xf>
    <xf numFmtId="165" fontId="19" fillId="0" borderId="22" xfId="1" applyNumberFormat="1" applyFont="1" applyFill="1" applyBorder="1" applyAlignment="1">
      <alignment horizontal="right" vertical="center"/>
    </xf>
    <xf numFmtId="0" fontId="17" fillId="0" borderId="56" xfId="17" applyFont="1" applyFill="1" applyBorder="1" applyAlignment="1">
      <alignment vertical="center"/>
    </xf>
    <xf numFmtId="165" fontId="17" fillId="0" borderId="57" xfId="1" applyNumberFormat="1" applyFont="1" applyFill="1" applyBorder="1" applyAlignment="1">
      <alignment horizontal="right" vertical="center"/>
    </xf>
    <xf numFmtId="169" fontId="17" fillId="0" borderId="56" xfId="17" applyNumberFormat="1" applyFont="1" applyBorder="1" applyAlignment="1">
      <alignment vertical="center"/>
    </xf>
    <xf numFmtId="165" fontId="17" fillId="0" borderId="57" xfId="1" applyNumberFormat="1" applyFont="1" applyFill="1" applyBorder="1" applyAlignment="1">
      <alignment vertical="center"/>
    </xf>
    <xf numFmtId="169" fontId="19" fillId="0" borderId="58" xfId="17" applyNumberFormat="1" applyFont="1" applyBorder="1" applyAlignment="1">
      <alignment vertical="center"/>
    </xf>
    <xf numFmtId="165" fontId="19" fillId="0" borderId="59" xfId="1" applyNumberFormat="1" applyFont="1" applyFill="1" applyBorder="1" applyAlignment="1">
      <alignment horizontal="right" vertical="center"/>
    </xf>
    <xf numFmtId="0" fontId="17" fillId="0" borderId="24" xfId="17" applyFont="1" applyFill="1" applyBorder="1" applyAlignment="1">
      <alignment wrapText="1"/>
    </xf>
    <xf numFmtId="165" fontId="17" fillId="0" borderId="22" xfId="1" applyNumberFormat="1" applyFont="1" applyFill="1" applyBorder="1" applyAlignment="1">
      <alignment vertical="center"/>
    </xf>
    <xf numFmtId="0" fontId="19" fillId="0" borderId="24" xfId="17" applyFont="1" applyFill="1" applyBorder="1" applyAlignment="1">
      <alignment vertical="center"/>
    </xf>
    <xf numFmtId="0" fontId="17" fillId="0" borderId="34" xfId="17" applyFont="1" applyFill="1" applyBorder="1" applyAlignment="1">
      <alignment vertical="center"/>
    </xf>
    <xf numFmtId="0" fontId="19" fillId="0" borderId="64" xfId="17" applyFont="1" applyFill="1" applyBorder="1" applyAlignment="1">
      <alignment vertical="center" wrapText="1"/>
    </xf>
    <xf numFmtId="0" fontId="17" fillId="0" borderId="16" xfId="17" applyFont="1" applyBorder="1" applyAlignment="1">
      <alignment horizontal="center" vertical="center" wrapText="1"/>
    </xf>
    <xf numFmtId="0" fontId="19" fillId="0" borderId="65" xfId="17" applyFont="1" applyBorder="1" applyAlignment="1">
      <alignment horizontal="center" vertical="center" wrapText="1"/>
    </xf>
    <xf numFmtId="0" fontId="19" fillId="0" borderId="16" xfId="17" applyFont="1" applyBorder="1" applyAlignment="1">
      <alignment horizontal="center" vertical="center" wrapText="1"/>
    </xf>
    <xf numFmtId="0" fontId="19" fillId="0" borderId="64" xfId="17" applyFont="1" applyFill="1" applyBorder="1" applyAlignment="1">
      <alignment vertical="center"/>
    </xf>
    <xf numFmtId="5" fontId="19" fillId="0" borderId="22" xfId="17" applyNumberFormat="1" applyFont="1" applyFill="1" applyBorder="1"/>
    <xf numFmtId="0" fontId="19" fillId="0" borderId="38" xfId="17" applyFont="1" applyFill="1" applyBorder="1" applyAlignment="1">
      <alignment vertical="center"/>
    </xf>
    <xf numFmtId="0" fontId="17" fillId="0" borderId="66" xfId="17" applyFont="1" applyFill="1" applyBorder="1" applyAlignment="1">
      <alignment vertical="center" wrapText="1"/>
    </xf>
    <xf numFmtId="5" fontId="17" fillId="0" borderId="67" xfId="17" applyNumberFormat="1" applyFont="1" applyFill="1" applyBorder="1"/>
    <xf numFmtId="5" fontId="19" fillId="0" borderId="0" xfId="1" applyNumberFormat="1" applyFont="1" applyFill="1" applyBorder="1" applyAlignment="1">
      <alignment horizontal="right"/>
    </xf>
    <xf numFmtId="0" fontId="19" fillId="0" borderId="70" xfId="17" applyFont="1" applyBorder="1" applyAlignment="1">
      <alignment horizontal="center" vertical="top"/>
    </xf>
    <xf numFmtId="0" fontId="19" fillId="0" borderId="64" xfId="17" applyFont="1" applyBorder="1" applyAlignment="1">
      <alignment vertical="center"/>
    </xf>
    <xf numFmtId="165" fontId="19" fillId="0" borderId="71" xfId="1" applyNumberFormat="1" applyFont="1" applyFill="1" applyBorder="1" applyAlignment="1">
      <alignment vertical="center"/>
    </xf>
    <xf numFmtId="0" fontId="19" fillId="0" borderId="38" xfId="17" applyFont="1" applyBorder="1" applyAlignment="1">
      <alignment vertical="center"/>
    </xf>
    <xf numFmtId="0" fontId="19" fillId="0" borderId="63" xfId="17" applyFont="1" applyBorder="1" applyAlignment="1">
      <alignment horizontal="center" vertical="top"/>
    </xf>
    <xf numFmtId="0" fontId="17" fillId="0" borderId="72" xfId="17" applyFont="1" applyBorder="1" applyAlignment="1">
      <alignment horizontal="center" vertical="top" wrapText="1"/>
    </xf>
    <xf numFmtId="0" fontId="17" fillId="0" borderId="64" xfId="17" applyFont="1" applyBorder="1" applyAlignment="1">
      <alignment vertical="center"/>
    </xf>
    <xf numFmtId="5" fontId="17" fillId="0" borderId="22" xfId="17" applyNumberFormat="1" applyFont="1" applyFill="1" applyBorder="1"/>
    <xf numFmtId="0" fontId="17" fillId="0" borderId="66" xfId="17" applyFont="1" applyBorder="1" applyAlignment="1">
      <alignment vertical="center" wrapText="1"/>
    </xf>
    <xf numFmtId="5" fontId="19" fillId="0" borderId="67" xfId="17" applyNumberFormat="1" applyFont="1" applyFill="1" applyBorder="1"/>
    <xf numFmtId="5" fontId="19" fillId="0" borderId="32" xfId="17" applyNumberFormat="1" applyFont="1" applyFill="1" applyBorder="1"/>
    <xf numFmtId="0" fontId="19" fillId="0" borderId="0" xfId="17" applyFont="1" applyFill="1" applyBorder="1" applyAlignment="1">
      <alignment horizontal="left" vertical="center" wrapText="1"/>
    </xf>
    <xf numFmtId="37" fontId="19" fillId="5" borderId="15" xfId="1" applyNumberFormat="1" applyFont="1" applyFill="1" applyBorder="1" applyAlignment="1">
      <alignment horizontal="right" vertical="center"/>
    </xf>
    <xf numFmtId="165" fontId="19" fillId="0" borderId="0" xfId="18" applyNumberFormat="1" applyFont="1" applyFill="1" applyBorder="1" applyAlignment="1">
      <alignment vertical="center"/>
    </xf>
    <xf numFmtId="37" fontId="19" fillId="0" borderId="15" xfId="1" applyNumberFormat="1" applyFont="1" applyFill="1" applyBorder="1" applyAlignment="1">
      <alignment horizontal="right" vertical="center"/>
    </xf>
    <xf numFmtId="37" fontId="19" fillId="0" borderId="15" xfId="1" applyNumberFormat="1" applyFont="1" applyFill="1" applyBorder="1" applyAlignment="1">
      <alignment vertical="center"/>
    </xf>
    <xf numFmtId="0" fontId="29" fillId="0" borderId="3" xfId="0" applyFont="1" applyBorder="1"/>
    <xf numFmtId="0" fontId="29" fillId="0" borderId="45" xfId="0" applyFont="1" applyBorder="1"/>
    <xf numFmtId="0" fontId="29" fillId="0" borderId="0" xfId="0" applyFont="1"/>
    <xf numFmtId="0" fontId="29" fillId="0" borderId="43" xfId="0" applyFont="1" applyBorder="1"/>
    <xf numFmtId="37" fontId="29" fillId="0" borderId="0" xfId="0" applyNumberFormat="1" applyFont="1" applyBorder="1"/>
    <xf numFmtId="37" fontId="29" fillId="0" borderId="3" xfId="0" applyNumberFormat="1" applyFont="1" applyBorder="1"/>
    <xf numFmtId="37" fontId="29" fillId="0" borderId="45" xfId="0" applyNumberFormat="1" applyFont="1" applyBorder="1"/>
    <xf numFmtId="165" fontId="17" fillId="0" borderId="25" xfId="1" applyNumberFormat="1" applyFont="1" applyFill="1" applyBorder="1" applyAlignment="1">
      <alignment vertical="center"/>
    </xf>
    <xf numFmtId="165" fontId="17" fillId="0" borderId="31" xfId="1" applyNumberFormat="1" applyFont="1" applyFill="1" applyBorder="1" applyAlignment="1">
      <alignment vertical="center"/>
    </xf>
    <xf numFmtId="165" fontId="17" fillId="0" borderId="24" xfId="1" applyNumberFormat="1" applyFont="1" applyFill="1" applyBorder="1" applyAlignment="1">
      <alignment vertical="center"/>
    </xf>
    <xf numFmtId="0" fontId="17" fillId="0" borderId="24" xfId="17" applyFont="1" applyFill="1" applyBorder="1" applyAlignment="1">
      <alignment horizontal="left" vertical="center"/>
    </xf>
    <xf numFmtId="0" fontId="19" fillId="0" borderId="22" xfId="17" applyFont="1" applyFill="1" applyBorder="1" applyAlignment="1">
      <alignment horizontal="left" vertical="center"/>
    </xf>
    <xf numFmtId="165" fontId="17" fillId="0" borderId="26" xfId="17" applyNumberFormat="1" applyFont="1" applyFill="1" applyBorder="1" applyAlignment="1">
      <alignment horizontal="left" vertical="center" wrapText="1"/>
    </xf>
    <xf numFmtId="0" fontId="19" fillId="0" borderId="32" xfId="17" applyFont="1" applyFill="1" applyBorder="1" applyAlignment="1">
      <alignment horizontal="left" vertical="center" wrapText="1"/>
    </xf>
    <xf numFmtId="5" fontId="19" fillId="0" borderId="18" xfId="17" applyNumberFormat="1" applyFont="1" applyFill="1" applyBorder="1"/>
    <xf numFmtId="0" fontId="17" fillId="0" borderId="29" xfId="17" applyFont="1" applyBorder="1" applyAlignment="1">
      <alignment horizontal="center" vertical="center"/>
    </xf>
    <xf numFmtId="3" fontId="17" fillId="0" borderId="1" xfId="17" applyNumberFormat="1" applyFont="1" applyFill="1" applyBorder="1" applyAlignment="1">
      <alignment horizontal="center" vertical="center" wrapText="1"/>
    </xf>
    <xf numFmtId="0" fontId="17" fillId="0" borderId="30" xfId="17" applyFont="1" applyFill="1" applyBorder="1" applyAlignment="1">
      <alignment horizontal="center" vertical="center"/>
    </xf>
    <xf numFmtId="169" fontId="19" fillId="0" borderId="33" xfId="17" applyNumberFormat="1" applyFont="1" applyBorder="1" applyAlignment="1">
      <alignment vertical="center"/>
    </xf>
    <xf numFmtId="165" fontId="19" fillId="0" borderId="86" xfId="1" applyNumberFormat="1" applyFont="1" applyFill="1" applyBorder="1" applyAlignment="1">
      <alignment vertical="center"/>
    </xf>
    <xf numFmtId="165" fontId="19" fillId="0" borderId="87" xfId="1" applyNumberFormat="1" applyFont="1" applyFill="1" applyBorder="1" applyAlignment="1">
      <alignment horizontal="right" vertical="center"/>
    </xf>
    <xf numFmtId="5" fontId="19" fillId="0" borderId="0" xfId="18" applyNumberFormat="1" applyFont="1" applyAlignment="1">
      <alignment vertical="center" wrapText="1"/>
    </xf>
    <xf numFmtId="0" fontId="19" fillId="0" borderId="0" xfId="0" applyFont="1" applyAlignment="1">
      <alignment horizontal="center" vertical="center" wrapText="1"/>
    </xf>
    <xf numFmtId="165" fontId="0" fillId="0" borderId="0" xfId="0" applyNumberFormat="1"/>
    <xf numFmtId="0" fontId="17" fillId="0" borderId="24" xfId="17" applyFont="1" applyFill="1" applyBorder="1" applyAlignment="1">
      <alignment vertical="center" wrapText="1"/>
    </xf>
    <xf numFmtId="172" fontId="17" fillId="0" borderId="0" xfId="1" applyFont="1" applyFill="1" applyBorder="1" applyAlignment="1">
      <alignment vertical="center"/>
    </xf>
    <xf numFmtId="165" fontId="17" fillId="0" borderId="28" xfId="1" applyNumberFormat="1" applyFont="1" applyFill="1" applyBorder="1" applyAlignment="1">
      <alignment vertical="center"/>
    </xf>
    <xf numFmtId="172" fontId="17" fillId="0" borderId="28" xfId="1" applyFont="1" applyFill="1" applyBorder="1" applyAlignment="1">
      <alignment vertical="center"/>
    </xf>
    <xf numFmtId="0" fontId="19" fillId="0" borderId="0" xfId="28" applyFont="1" applyAlignment="1">
      <alignment vertical="center"/>
    </xf>
    <xf numFmtId="0" fontId="19" fillId="0" borderId="14" xfId="28" applyFont="1" applyBorder="1" applyAlignment="1">
      <alignment vertical="center"/>
    </xf>
    <xf numFmtId="0" fontId="17" fillId="0" borderId="14" xfId="28" applyFont="1" applyBorder="1" applyAlignment="1">
      <alignment vertical="center"/>
    </xf>
    <xf numFmtId="5" fontId="17" fillId="0" borderId="14" xfId="4" applyFont="1" applyBorder="1" applyAlignment="1">
      <alignment horizontal="center" vertical="center" wrapText="1"/>
    </xf>
    <xf numFmtId="0" fontId="19" fillId="0" borderId="38" xfId="0" applyFont="1" applyBorder="1" applyAlignment="1">
      <alignment horizontal="left" vertical="center" wrapText="1"/>
    </xf>
    <xf numFmtId="5" fontId="19" fillId="0" borderId="38" xfId="4" applyFont="1" applyFill="1" applyBorder="1" applyAlignment="1">
      <alignment vertical="center"/>
    </xf>
    <xf numFmtId="5" fontId="19" fillId="0" borderId="20" xfId="4" applyFont="1" applyFill="1" applyBorder="1" applyAlignment="1">
      <alignment vertical="center"/>
    </xf>
    <xf numFmtId="5" fontId="19" fillId="0" borderId="20" xfId="4" applyFont="1" applyBorder="1" applyAlignment="1">
      <alignment vertical="center"/>
    </xf>
    <xf numFmtId="5" fontId="19" fillId="0" borderId="83" xfId="4" applyFont="1" applyBorder="1" applyAlignment="1">
      <alignment vertical="center"/>
    </xf>
    <xf numFmtId="0" fontId="19" fillId="0" borderId="34" xfId="0" applyFont="1" applyBorder="1" applyAlignment="1">
      <alignment horizontal="left" vertical="center" wrapText="1"/>
    </xf>
    <xf numFmtId="5" fontId="19" fillId="0" borderId="34" xfId="4" applyFont="1" applyFill="1" applyBorder="1" applyAlignment="1">
      <alignment vertical="center"/>
    </xf>
    <xf numFmtId="5" fontId="19" fillId="0" borderId="3" xfId="4" applyFont="1" applyBorder="1" applyAlignment="1">
      <alignment vertical="center"/>
    </xf>
    <xf numFmtId="5" fontId="19" fillId="0" borderId="76" xfId="4" applyFont="1" applyBorder="1" applyAlignment="1">
      <alignment vertical="center"/>
    </xf>
    <xf numFmtId="0" fontId="19" fillId="0" borderId="78" xfId="0" applyFont="1" applyBorder="1" applyAlignment="1">
      <alignment horizontal="left" vertical="center" wrapText="1"/>
    </xf>
    <xf numFmtId="5" fontId="19" fillId="0" borderId="78" xfId="4" applyFont="1" applyFill="1" applyBorder="1" applyAlignment="1">
      <alignment vertical="center"/>
    </xf>
    <xf numFmtId="5" fontId="19" fillId="0" borderId="79" xfId="4" applyFont="1" applyFill="1" applyBorder="1" applyAlignment="1">
      <alignment vertical="center"/>
    </xf>
    <xf numFmtId="5" fontId="19" fillId="0" borderId="79" xfId="4" applyFont="1" applyBorder="1" applyAlignment="1">
      <alignment vertical="center"/>
    </xf>
    <xf numFmtId="5" fontId="19" fillId="0" borderId="77" xfId="4" applyFont="1" applyBorder="1" applyAlignment="1">
      <alignment vertical="center"/>
    </xf>
    <xf numFmtId="0" fontId="17" fillId="0" borderId="21" xfId="28" applyFont="1" applyBorder="1" applyAlignment="1">
      <alignment vertical="center" wrapText="1"/>
    </xf>
    <xf numFmtId="5" fontId="17" fillId="0" borderId="81" xfId="4" applyFont="1" applyFill="1" applyBorder="1" applyAlignment="1">
      <alignment vertical="center"/>
    </xf>
    <xf numFmtId="5" fontId="17" fillId="0" borderId="81" xfId="4" applyFont="1" applyBorder="1" applyAlignment="1">
      <alignment vertical="center"/>
    </xf>
    <xf numFmtId="5" fontId="17" fillId="0" borderId="21" xfId="4" applyFont="1" applyBorder="1" applyAlignment="1">
      <alignment vertical="center"/>
    </xf>
    <xf numFmtId="0" fontId="19" fillId="0" borderId="83" xfId="28" applyFont="1" applyFill="1" applyBorder="1" applyAlignment="1">
      <alignment vertical="center" wrapText="1"/>
    </xf>
    <xf numFmtId="5" fontId="19" fillId="0" borderId="83" xfId="4" applyFont="1" applyFill="1" applyBorder="1" applyAlignment="1">
      <alignment vertical="center"/>
    </xf>
    <xf numFmtId="0" fontId="19" fillId="0" borderId="77" xfId="28" applyFont="1" applyFill="1" applyBorder="1" applyAlignment="1">
      <alignment vertical="center" wrapText="1"/>
    </xf>
    <xf numFmtId="5" fontId="19" fillId="0" borderId="77" xfId="4" applyFont="1" applyFill="1" applyBorder="1" applyAlignment="1">
      <alignment vertical="center"/>
    </xf>
    <xf numFmtId="0" fontId="19" fillId="0" borderId="0" xfId="29" applyFont="1"/>
    <xf numFmtId="0" fontId="17" fillId="0" borderId="21" xfId="28" applyFont="1" applyFill="1" applyBorder="1" applyAlignment="1">
      <alignment vertical="center" wrapText="1"/>
    </xf>
    <xf numFmtId="5" fontId="17" fillId="0" borderId="64" xfId="4" applyFont="1" applyFill="1" applyBorder="1" applyAlignment="1">
      <alignment vertical="center"/>
    </xf>
    <xf numFmtId="5" fontId="17" fillId="0" borderId="18" xfId="4" applyFont="1" applyFill="1" applyBorder="1" applyAlignment="1">
      <alignment vertical="center"/>
    </xf>
    <xf numFmtId="5" fontId="17" fillId="0" borderId="15" xfId="4" applyFont="1" applyFill="1" applyBorder="1" applyAlignment="1">
      <alignment vertical="center"/>
    </xf>
    <xf numFmtId="5" fontId="17" fillId="0" borderId="40" xfId="4" applyFont="1" applyBorder="1" applyAlignment="1">
      <alignment vertical="center"/>
    </xf>
    <xf numFmtId="5" fontId="17" fillId="0" borderId="75" xfId="4" applyFont="1" applyBorder="1" applyAlignment="1">
      <alignment vertical="center"/>
    </xf>
    <xf numFmtId="5" fontId="17" fillId="0" borderId="75" xfId="4" applyFont="1" applyFill="1" applyBorder="1" applyAlignment="1">
      <alignment vertical="center"/>
    </xf>
    <xf numFmtId="5" fontId="17" fillId="0" borderId="14" xfId="4" applyFont="1" applyBorder="1" applyAlignment="1">
      <alignment vertical="center"/>
    </xf>
    <xf numFmtId="5" fontId="19" fillId="0" borderId="0" xfId="28" applyNumberFormat="1" applyFont="1" applyAlignment="1">
      <alignment vertical="center"/>
    </xf>
    <xf numFmtId="10" fontId="19" fillId="0" borderId="0" xfId="18" applyNumberFormat="1" applyFont="1" applyAlignment="1">
      <alignment vertical="center" wrapText="1"/>
    </xf>
    <xf numFmtId="5" fontId="17" fillId="0" borderId="22" xfId="4" applyNumberFormat="1" applyFont="1" applyBorder="1" applyAlignment="1">
      <alignment vertical="center" wrapText="1"/>
    </xf>
    <xf numFmtId="0" fontId="19" fillId="0" borderId="0" xfId="0" applyFont="1"/>
    <xf numFmtId="0" fontId="9" fillId="0" borderId="0" xfId="0" applyFont="1"/>
    <xf numFmtId="0" fontId="17" fillId="0" borderId="0" xfId="17" applyFont="1" applyFill="1" applyBorder="1" applyAlignment="1">
      <alignment horizontal="center" vertical="center"/>
    </xf>
    <xf numFmtId="0" fontId="0" fillId="0" borderId="0" xfId="0" applyBorder="1"/>
    <xf numFmtId="0" fontId="16" fillId="0" borderId="0" xfId="17" applyFont="1" applyFill="1" applyBorder="1" applyAlignment="1">
      <alignment horizontal="left" vertical="center"/>
    </xf>
    <xf numFmtId="0" fontId="19" fillId="0" borderId="27" xfId="0" applyFont="1" applyBorder="1"/>
    <xf numFmtId="0" fontId="19" fillId="0" borderId="15" xfId="0" applyFont="1" applyBorder="1"/>
    <xf numFmtId="0" fontId="19" fillId="0" borderId="99" xfId="0" applyFont="1" applyBorder="1"/>
    <xf numFmtId="37" fontId="19" fillId="0" borderId="16" xfId="0" applyNumberFormat="1" applyFont="1" applyBorder="1"/>
    <xf numFmtId="37" fontId="19" fillId="0" borderId="95" xfId="0" applyNumberFormat="1" applyFont="1" applyBorder="1"/>
    <xf numFmtId="37" fontId="19" fillId="0" borderId="31" xfId="0" applyNumberFormat="1" applyFont="1" applyBorder="1"/>
    <xf numFmtId="37" fontId="19" fillId="0" borderId="96" xfId="0" applyNumberFormat="1" applyFont="1" applyBorder="1"/>
    <xf numFmtId="37" fontId="19" fillId="0" borderId="22" xfId="0" applyNumberFormat="1" applyFont="1" applyBorder="1"/>
    <xf numFmtId="37" fontId="19" fillId="0" borderId="86" xfId="0" applyNumberFormat="1" applyFont="1" applyBorder="1"/>
    <xf numFmtId="37" fontId="19" fillId="0" borderId="97" xfId="0" applyNumberFormat="1" applyFont="1" applyBorder="1"/>
    <xf numFmtId="37" fontId="19" fillId="0" borderId="87" xfId="0" applyNumberFormat="1" applyFont="1" applyBorder="1"/>
    <xf numFmtId="0" fontId="17" fillId="0" borderId="21" xfId="0" applyFont="1" applyBorder="1"/>
    <xf numFmtId="37" fontId="17" fillId="0" borderId="28" xfId="0" applyNumberFormat="1" applyFont="1" applyBorder="1"/>
    <xf numFmtId="37" fontId="17" fillId="0" borderId="98" xfId="0" applyNumberFormat="1" applyFont="1" applyBorder="1"/>
    <xf numFmtId="37" fontId="17" fillId="0" borderId="32" xfId="0" applyNumberFormat="1" applyFont="1" applyBorder="1"/>
    <xf numFmtId="37" fontId="17" fillId="0" borderId="1" xfId="0" applyNumberFormat="1" applyFont="1" applyBorder="1"/>
    <xf numFmtId="37" fontId="17" fillId="0" borderId="100" xfId="0" applyNumberFormat="1" applyFont="1" applyBorder="1"/>
    <xf numFmtId="37" fontId="0" fillId="0" borderId="0" xfId="0" applyNumberFormat="1"/>
    <xf numFmtId="0" fontId="19" fillId="0" borderId="0" xfId="0" applyFont="1"/>
    <xf numFmtId="0" fontId="19" fillId="0" borderId="0" xfId="0" applyFont="1"/>
    <xf numFmtId="0" fontId="16" fillId="0" borderId="0" xfId="0" applyFont="1" applyFill="1" applyBorder="1" applyAlignment="1">
      <alignment horizontal="left"/>
    </xf>
    <xf numFmtId="0" fontId="19" fillId="0" borderId="0" xfId="0" applyFont="1"/>
    <xf numFmtId="0" fontId="19" fillId="0" borderId="0" xfId="0" applyFont="1" applyFill="1" applyBorder="1" applyAlignment="1">
      <alignment horizontal="center" vertical="center" wrapText="1"/>
    </xf>
    <xf numFmtId="0" fontId="17" fillId="0" borderId="0" xfId="17" applyFont="1" applyFill="1" applyBorder="1" applyAlignment="1">
      <alignment horizontal="center" vertical="top" wrapText="1"/>
    </xf>
    <xf numFmtId="5" fontId="19" fillId="0" borderId="0" xfId="17" applyNumberFormat="1" applyFont="1" applyFill="1" applyBorder="1"/>
    <xf numFmtId="5" fontId="19" fillId="0" borderId="0" xfId="1" applyNumberFormat="1" applyFont="1" applyFill="1" applyBorder="1"/>
    <xf numFmtId="5" fontId="17" fillId="0" borderId="0" xfId="1" applyNumberFormat="1" applyFont="1" applyFill="1" applyBorder="1" applyAlignment="1"/>
    <xf numFmtId="0" fontId="16" fillId="0" borderId="0" xfId="0" applyFont="1" applyFill="1" applyBorder="1" applyAlignment="1">
      <alignment wrapText="1"/>
    </xf>
    <xf numFmtId="0" fontId="17" fillId="6" borderId="26" xfId="0" applyFont="1" applyFill="1" applyBorder="1" applyAlignment="1">
      <alignment horizontal="center" vertical="center"/>
    </xf>
    <xf numFmtId="0" fontId="17" fillId="6" borderId="32" xfId="0" applyFont="1" applyFill="1" applyBorder="1"/>
    <xf numFmtId="37" fontId="17" fillId="6" borderId="28" xfId="0" applyNumberFormat="1" applyFont="1" applyFill="1" applyBorder="1"/>
    <xf numFmtId="37" fontId="17" fillId="6" borderId="100" xfId="0" applyNumberFormat="1" applyFont="1" applyFill="1" applyBorder="1"/>
    <xf numFmtId="176" fontId="19" fillId="0" borderId="0" xfId="17" applyNumberFormat="1" applyFont="1" applyFill="1" applyAlignment="1">
      <alignment vertical="center"/>
    </xf>
    <xf numFmtId="176" fontId="19" fillId="0" borderId="0" xfId="0" applyNumberFormat="1" applyFont="1"/>
    <xf numFmtId="0" fontId="19" fillId="0" borderId="0" xfId="0" applyFont="1"/>
    <xf numFmtId="165" fontId="19" fillId="0" borderId="5" xfId="0" applyNumberFormat="1" applyFont="1" applyFill="1" applyBorder="1"/>
    <xf numFmtId="165" fontId="19" fillId="0" borderId="0" xfId="0" applyNumberFormat="1" applyFont="1" applyFill="1" applyBorder="1"/>
    <xf numFmtId="5" fontId="19" fillId="0" borderId="0" xfId="0" applyNumberFormat="1" applyFont="1" applyBorder="1" applyAlignment="1">
      <alignment vertical="top" wrapText="1"/>
    </xf>
    <xf numFmtId="10" fontId="19" fillId="0" borderId="0" xfId="17" applyNumberFormat="1" applyFont="1"/>
    <xf numFmtId="37" fontId="19" fillId="0" borderId="86" xfId="1" applyNumberFormat="1" applyFont="1" applyBorder="1" applyAlignment="1">
      <alignment vertical="center"/>
    </xf>
    <xf numFmtId="7" fontId="19" fillId="0" borderId="0" xfId="17" applyNumberFormat="1" applyFont="1"/>
    <xf numFmtId="5" fontId="19" fillId="0" borderId="0" xfId="17" applyNumberFormat="1" applyFont="1" applyBorder="1"/>
    <xf numFmtId="177" fontId="19" fillId="0" borderId="0" xfId="18" applyNumberFormat="1" applyFont="1" applyFill="1" applyAlignment="1">
      <alignment vertical="center"/>
    </xf>
    <xf numFmtId="178" fontId="17" fillId="0" borderId="40" xfId="4" quotePrefix="1" applyNumberFormat="1" applyFont="1" applyBorder="1" applyAlignment="1">
      <alignment horizontal="center" vertical="center" wrapText="1"/>
    </xf>
    <xf numFmtId="178" fontId="17" fillId="0" borderId="75" xfId="4" quotePrefix="1" applyNumberFormat="1" applyFont="1" applyBorder="1" applyAlignment="1">
      <alignment horizontal="center" vertical="center" wrapText="1"/>
    </xf>
    <xf numFmtId="0" fontId="19" fillId="0" borderId="0" xfId="0" applyFont="1"/>
    <xf numFmtId="0" fontId="19" fillId="0" borderId="27" xfId="0" applyFont="1" applyFill="1" applyBorder="1" applyAlignment="1">
      <alignment vertical="center" wrapText="1"/>
    </xf>
    <xf numFmtId="165" fontId="19" fillId="0" borderId="16" xfId="1" applyNumberFormat="1" applyFont="1" applyFill="1" applyBorder="1" applyAlignment="1">
      <alignment vertical="center"/>
    </xf>
    <xf numFmtId="165" fontId="19" fillId="0" borderId="27" xfId="1" applyNumberFormat="1" applyFont="1" applyFill="1" applyBorder="1" applyAlignment="1">
      <alignment vertical="center"/>
    </xf>
    <xf numFmtId="165" fontId="19" fillId="0" borderId="28" xfId="1" applyNumberFormat="1" applyFont="1" applyFill="1" applyBorder="1" applyAlignment="1">
      <alignment vertical="center"/>
    </xf>
    <xf numFmtId="0" fontId="29" fillId="0" borderId="0" xfId="0" applyFont="1" applyBorder="1"/>
    <xf numFmtId="165" fontId="19" fillId="0" borderId="18" xfId="1" applyNumberFormat="1" applyFont="1" applyFill="1" applyBorder="1" applyAlignment="1">
      <alignment vertical="center"/>
    </xf>
    <xf numFmtId="0" fontId="19" fillId="0" borderId="27" xfId="0" applyFont="1" applyBorder="1" applyAlignment="1">
      <alignment vertical="center" wrapText="1"/>
    </xf>
    <xf numFmtId="0" fontId="17" fillId="4" borderId="24" xfId="17" applyFont="1" applyFill="1" applyBorder="1" applyAlignment="1">
      <alignment vertical="center" wrapText="1"/>
    </xf>
    <xf numFmtId="0" fontId="17" fillId="4" borderId="26" xfId="17" applyFont="1" applyFill="1" applyBorder="1" applyAlignment="1">
      <alignment vertical="center" wrapText="1"/>
    </xf>
    <xf numFmtId="165" fontId="19" fillId="0" borderId="0" xfId="1" applyNumberFormat="1" applyFont="1" applyFill="1" applyBorder="1" applyAlignment="1">
      <alignment horizontal="left" vertical="center"/>
    </xf>
    <xf numFmtId="0" fontId="17" fillId="6" borderId="29" xfId="17" applyFont="1" applyFill="1" applyBorder="1" applyAlignment="1">
      <alignment vertical="center"/>
    </xf>
    <xf numFmtId="0" fontId="0" fillId="6" borderId="1" xfId="0" applyFill="1" applyBorder="1"/>
    <xf numFmtId="0" fontId="0" fillId="6" borderId="30" xfId="0" applyFill="1" applyBorder="1"/>
    <xf numFmtId="0" fontId="19" fillId="0" borderId="0" xfId="0" applyFont="1"/>
    <xf numFmtId="0" fontId="16" fillId="0" borderId="0" xfId="0" applyFont="1" applyFill="1" applyBorder="1" applyAlignment="1">
      <alignment horizontal="left" wrapText="1"/>
    </xf>
    <xf numFmtId="0" fontId="17" fillId="0" borderId="26" xfId="0" applyFont="1" applyFill="1" applyBorder="1" applyAlignment="1">
      <alignment horizontal="left" vertical="center" wrapText="1"/>
    </xf>
    <xf numFmtId="0" fontId="19" fillId="0" borderId="0" xfId="0" applyFont="1"/>
    <xf numFmtId="7" fontId="19" fillId="0" borderId="0" xfId="0" applyNumberFormat="1" applyFont="1"/>
    <xf numFmtId="0" fontId="24" fillId="0" borderId="0" xfId="30" applyFont="1" applyAlignment="1">
      <alignment vertical="center"/>
    </xf>
    <xf numFmtId="0" fontId="31" fillId="6" borderId="14" xfId="30" applyFont="1" applyFill="1" applyBorder="1" applyAlignment="1">
      <alignment horizontal="center" vertical="center"/>
    </xf>
    <xf numFmtId="17" fontId="31" fillId="0" borderId="40" xfId="30" applyNumberFormat="1" applyFont="1" applyBorder="1" applyAlignment="1">
      <alignment horizontal="center" vertical="center"/>
    </xf>
    <xf numFmtId="17" fontId="31" fillId="0" borderId="75" xfId="30" applyNumberFormat="1" applyFont="1" applyBorder="1" applyAlignment="1">
      <alignment horizontal="center" vertical="center"/>
    </xf>
    <xf numFmtId="17" fontId="31" fillId="0" borderId="41" xfId="30" applyNumberFormat="1" applyFont="1" applyBorder="1" applyAlignment="1">
      <alignment horizontal="center" vertical="center"/>
    </xf>
    <xf numFmtId="0" fontId="24" fillId="0" borderId="0" xfId="30" applyFont="1" applyAlignment="1">
      <alignment vertical="center" wrapText="1"/>
    </xf>
    <xf numFmtId="0" fontId="24" fillId="0" borderId="44" xfId="30" applyFont="1" applyBorder="1" applyAlignment="1">
      <alignment horizontal="left" vertical="center" wrapText="1"/>
    </xf>
    <xf numFmtId="5" fontId="24" fillId="0" borderId="43" xfId="30" applyNumberFormat="1" applyFont="1" applyFill="1" applyBorder="1" applyAlignment="1">
      <alignment horizontal="right" vertical="center"/>
    </xf>
    <xf numFmtId="5" fontId="31" fillId="0" borderId="44" xfId="30" applyNumberFormat="1" applyFont="1" applyFill="1" applyBorder="1" applyAlignment="1">
      <alignment horizontal="right" vertical="center"/>
    </xf>
    <xf numFmtId="0" fontId="24" fillId="0" borderId="35" xfId="30" applyFont="1" applyBorder="1" applyAlignment="1">
      <alignment horizontal="left" vertical="center" wrapText="1"/>
    </xf>
    <xf numFmtId="5" fontId="24" fillId="0" borderId="3" xfId="30" applyNumberFormat="1" applyFont="1" applyFill="1" applyBorder="1" applyAlignment="1">
      <alignment horizontal="right" vertical="center"/>
    </xf>
    <xf numFmtId="5" fontId="31" fillId="0" borderId="35" xfId="30" applyNumberFormat="1" applyFont="1" applyFill="1" applyBorder="1" applyAlignment="1">
      <alignment horizontal="right" vertical="center"/>
    </xf>
    <xf numFmtId="0" fontId="24" fillId="0" borderId="80" xfId="30" applyFont="1" applyBorder="1" applyAlignment="1">
      <alignment horizontal="left" vertical="center" wrapText="1"/>
    </xf>
    <xf numFmtId="5" fontId="24" fillId="0" borderId="79" xfId="30" applyNumberFormat="1" applyFont="1" applyFill="1" applyBorder="1" applyAlignment="1">
      <alignment horizontal="right" vertical="center"/>
    </xf>
    <xf numFmtId="5" fontId="31" fillId="0" borderId="80" xfId="30" applyNumberFormat="1" applyFont="1" applyFill="1" applyBorder="1" applyAlignment="1">
      <alignment horizontal="right" vertical="center"/>
    </xf>
    <xf numFmtId="0" fontId="31" fillId="0" borderId="104" xfId="30" applyFont="1" applyBorder="1" applyAlignment="1">
      <alignment horizontal="left" vertical="center" wrapText="1"/>
    </xf>
    <xf numFmtId="5" fontId="24" fillId="0" borderId="105" xfId="30" applyNumberFormat="1" applyFont="1" applyFill="1" applyBorder="1" applyAlignment="1">
      <alignment horizontal="right" vertical="center"/>
    </xf>
    <xf numFmtId="0" fontId="31" fillId="0" borderId="106" xfId="30" applyFont="1" applyBorder="1" applyAlignment="1">
      <alignment horizontal="left" vertical="center" wrapText="1"/>
    </xf>
    <xf numFmtId="5" fontId="31" fillId="0" borderId="107" xfId="30" applyNumberFormat="1" applyFont="1" applyFill="1" applyBorder="1" applyAlignment="1">
      <alignment horizontal="right" vertical="center"/>
    </xf>
    <xf numFmtId="5" fontId="24" fillId="0" borderId="20" xfId="30" applyNumberFormat="1" applyFont="1" applyFill="1" applyBorder="1" applyAlignment="1">
      <alignment horizontal="right" vertical="center"/>
    </xf>
    <xf numFmtId="5" fontId="31" fillId="0" borderId="39" xfId="30" applyNumberFormat="1" applyFont="1" applyFill="1" applyBorder="1" applyAlignment="1">
      <alignment horizontal="right" vertical="center"/>
    </xf>
    <xf numFmtId="5" fontId="31" fillId="0" borderId="20" xfId="30" applyNumberFormat="1" applyFont="1" applyFill="1" applyBorder="1" applyAlignment="1">
      <alignment horizontal="right" vertical="center"/>
    </xf>
    <xf numFmtId="37" fontId="24" fillId="0" borderId="3" xfId="30" applyNumberFormat="1" applyFont="1" applyFill="1" applyBorder="1" applyAlignment="1">
      <alignment horizontal="right" vertical="center"/>
    </xf>
    <xf numFmtId="37" fontId="31" fillId="0" borderId="35" xfId="30" applyNumberFormat="1" applyFont="1" applyFill="1" applyBorder="1" applyAlignment="1">
      <alignment horizontal="right" vertical="center"/>
    </xf>
    <xf numFmtId="7" fontId="24" fillId="0" borderId="36" xfId="30" applyNumberFormat="1" applyFont="1" applyBorder="1" applyAlignment="1">
      <alignment horizontal="right" vertical="center"/>
    </xf>
    <xf numFmtId="7" fontId="24" fillId="0" borderId="45" xfId="30" applyNumberFormat="1" applyFont="1" applyBorder="1" applyAlignment="1">
      <alignment horizontal="right" vertical="center"/>
    </xf>
    <xf numFmtId="7" fontId="24" fillId="0" borderId="45" xfId="30" applyNumberFormat="1" applyFont="1" applyFill="1" applyBorder="1" applyAlignment="1">
      <alignment horizontal="right" vertical="center"/>
    </xf>
    <xf numFmtId="7" fontId="24" fillId="0" borderId="37" xfId="30" applyNumberFormat="1" applyFont="1" applyFill="1" applyBorder="1" applyAlignment="1">
      <alignment horizontal="right" vertical="center"/>
    </xf>
    <xf numFmtId="0" fontId="31" fillId="0" borderId="82" xfId="30" applyFont="1" applyBorder="1" applyAlignment="1">
      <alignment horizontal="left" vertical="center" wrapText="1"/>
    </xf>
    <xf numFmtId="5" fontId="31" fillId="0" borderId="81" xfId="30" applyNumberFormat="1" applyFont="1" applyFill="1" applyBorder="1" applyAlignment="1">
      <alignment horizontal="right" vertical="center"/>
    </xf>
    <xf numFmtId="0" fontId="31" fillId="0" borderId="44" xfId="30" applyFont="1" applyBorder="1" applyAlignment="1">
      <alignment horizontal="left" vertical="center" wrapText="1"/>
    </xf>
    <xf numFmtId="0" fontId="31" fillId="0" borderId="35" xfId="30" applyFont="1" applyBorder="1" applyAlignment="1">
      <alignment horizontal="left" vertical="center" wrapText="1"/>
    </xf>
    <xf numFmtId="0" fontId="31" fillId="0" borderId="80" xfId="30" applyFont="1" applyBorder="1" applyAlignment="1">
      <alignment horizontal="left" vertical="center" wrapText="1"/>
    </xf>
    <xf numFmtId="0" fontId="31" fillId="0" borderId="39" xfId="30" applyFont="1" applyBorder="1" applyAlignment="1">
      <alignment horizontal="left" vertical="center" wrapText="1"/>
    </xf>
    <xf numFmtId="0" fontId="24" fillId="0" borderId="0" xfId="30" applyFont="1" applyAlignment="1">
      <alignment horizontal="center" vertical="center"/>
    </xf>
    <xf numFmtId="17" fontId="31" fillId="0" borderId="30" xfId="30" applyNumberFormat="1" applyFont="1" applyBorder="1" applyAlignment="1">
      <alignment horizontal="center" vertical="center"/>
    </xf>
    <xf numFmtId="5" fontId="31" fillId="0" borderId="53" xfId="30" applyNumberFormat="1" applyFont="1" applyFill="1" applyBorder="1" applyAlignment="1">
      <alignment horizontal="right" vertical="center"/>
    </xf>
    <xf numFmtId="5" fontId="31" fillId="0" borderId="55" xfId="30" applyNumberFormat="1" applyFont="1" applyFill="1" applyBorder="1" applyAlignment="1">
      <alignment horizontal="right" vertical="center"/>
    </xf>
    <xf numFmtId="5" fontId="31" fillId="0" borderId="109" xfId="30" applyNumberFormat="1" applyFont="1" applyFill="1" applyBorder="1" applyAlignment="1">
      <alignment horizontal="right" vertical="center"/>
    </xf>
    <xf numFmtId="5" fontId="31" fillId="0" borderId="87" xfId="30" applyNumberFormat="1" applyFont="1" applyFill="1" applyBorder="1" applyAlignment="1">
      <alignment horizontal="right" vertical="center"/>
    </xf>
    <xf numFmtId="5" fontId="31" fillId="0" borderId="23" xfId="30" applyNumberFormat="1" applyFont="1" applyFill="1" applyBorder="1" applyAlignment="1">
      <alignment horizontal="right" vertical="center"/>
    </xf>
    <xf numFmtId="5" fontId="31" fillId="0" borderId="57" xfId="30" applyNumberFormat="1" applyFont="1" applyFill="1" applyBorder="1" applyAlignment="1">
      <alignment horizontal="right" vertical="center"/>
    </xf>
    <xf numFmtId="37" fontId="31" fillId="0" borderId="55" xfId="30" applyNumberFormat="1" applyFont="1" applyFill="1" applyBorder="1" applyAlignment="1">
      <alignment horizontal="right" vertical="center"/>
    </xf>
    <xf numFmtId="5" fontId="31" fillId="0" borderId="32" xfId="30" applyNumberFormat="1" applyFont="1" applyFill="1" applyBorder="1" applyAlignment="1">
      <alignment horizontal="right" vertical="center"/>
    </xf>
    <xf numFmtId="17" fontId="31" fillId="0" borderId="112" xfId="30" applyNumberFormat="1" applyFont="1" applyBorder="1" applyAlignment="1">
      <alignment horizontal="center" vertical="center"/>
    </xf>
    <xf numFmtId="5" fontId="24" fillId="0" borderId="113" xfId="30" applyNumberFormat="1" applyFont="1" applyFill="1" applyBorder="1" applyAlignment="1">
      <alignment horizontal="right" vertical="center"/>
    </xf>
    <xf numFmtId="5" fontId="24" fillId="0" borderId="114" xfId="30" applyNumberFormat="1" applyFont="1" applyFill="1" applyBorder="1" applyAlignment="1">
      <alignment horizontal="right" vertical="center"/>
    </xf>
    <xf numFmtId="5" fontId="24" fillId="0" borderId="115" xfId="30" applyNumberFormat="1" applyFont="1" applyFill="1" applyBorder="1" applyAlignment="1">
      <alignment horizontal="right" vertical="center"/>
    </xf>
    <xf numFmtId="5" fontId="24" fillId="0" borderId="116" xfId="30" applyNumberFormat="1" applyFont="1" applyFill="1" applyBorder="1" applyAlignment="1">
      <alignment horizontal="right" vertical="center"/>
    </xf>
    <xf numFmtId="5" fontId="31" fillId="0" borderId="117" xfId="30" applyNumberFormat="1" applyFont="1" applyFill="1" applyBorder="1" applyAlignment="1">
      <alignment horizontal="right" vertical="center"/>
    </xf>
    <xf numFmtId="5" fontId="24" fillId="0" borderId="118" xfId="30" applyNumberFormat="1" applyFont="1" applyFill="1" applyBorder="1" applyAlignment="1">
      <alignment horizontal="right" vertical="center"/>
    </xf>
    <xf numFmtId="5" fontId="31" fillId="0" borderId="118" xfId="30" applyNumberFormat="1" applyFont="1" applyFill="1" applyBorder="1" applyAlignment="1">
      <alignment horizontal="right" vertical="center"/>
    </xf>
    <xf numFmtId="37" fontId="24" fillId="0" borderId="114" xfId="30" applyNumberFormat="1" applyFont="1" applyFill="1" applyBorder="1" applyAlignment="1">
      <alignment horizontal="right" vertical="center"/>
    </xf>
    <xf numFmtId="7" fontId="24" fillId="0" borderId="119" xfId="30" applyNumberFormat="1" applyFont="1" applyFill="1" applyBorder="1" applyAlignment="1">
      <alignment horizontal="right" vertical="center"/>
    </xf>
    <xf numFmtId="5" fontId="31" fillId="0" borderId="120" xfId="30" applyNumberFormat="1" applyFont="1" applyFill="1" applyBorder="1" applyAlignment="1">
      <alignment horizontal="right" vertical="center"/>
    </xf>
    <xf numFmtId="7" fontId="31" fillId="0" borderId="111" xfId="30" applyNumberFormat="1" applyFont="1" applyFill="1" applyBorder="1" applyAlignment="1">
      <alignment horizontal="right" vertical="center"/>
    </xf>
    <xf numFmtId="5" fontId="17" fillId="0" borderId="3" xfId="17" applyNumberFormat="1" applyFont="1" applyFill="1" applyBorder="1"/>
    <xf numFmtId="165" fontId="17" fillId="0" borderId="2" xfId="1" applyNumberFormat="1" applyFont="1" applyFill="1" applyBorder="1" applyAlignment="1">
      <alignment vertical="center"/>
    </xf>
    <xf numFmtId="0" fontId="19" fillId="0" borderId="121" xfId="17" applyFont="1" applyBorder="1" applyAlignment="1">
      <alignment horizontal="center" vertical="center" wrapText="1"/>
    </xf>
    <xf numFmtId="165" fontId="17" fillId="0" borderId="35" xfId="1" applyNumberFormat="1" applyFont="1" applyFill="1" applyBorder="1" applyAlignment="1">
      <alignment vertical="center"/>
    </xf>
    <xf numFmtId="0" fontId="19" fillId="0" borderId="70" xfId="17" applyFont="1" applyFill="1" applyBorder="1" applyAlignment="1">
      <alignment horizontal="center" vertical="top"/>
    </xf>
    <xf numFmtId="0" fontId="17" fillId="0" borderId="103" xfId="17" applyFont="1" applyFill="1" applyBorder="1" applyAlignment="1">
      <alignment horizontal="center" vertical="center" wrapText="1"/>
    </xf>
    <xf numFmtId="0" fontId="19" fillId="0" borderId="65" xfId="17" applyFont="1" applyFill="1" applyBorder="1" applyAlignment="1">
      <alignment horizontal="center" vertical="center" wrapText="1"/>
    </xf>
    <xf numFmtId="5" fontId="19" fillId="0" borderId="0" xfId="4" applyNumberFormat="1" applyFont="1" applyBorder="1"/>
    <xf numFmtId="5" fontId="19" fillId="0" borderId="0" xfId="0" applyNumberFormat="1" applyFont="1" applyAlignment="1">
      <alignment vertical="top"/>
    </xf>
    <xf numFmtId="0" fontId="19" fillId="0" borderId="0" xfId="0" applyFont="1"/>
    <xf numFmtId="0" fontId="19" fillId="0" borderId="102" xfId="17" applyFont="1" applyFill="1" applyBorder="1" applyAlignment="1">
      <alignment horizontal="center" vertical="center" wrapText="1"/>
    </xf>
    <xf numFmtId="5" fontId="17" fillId="0" borderId="2" xfId="17" applyNumberFormat="1" applyFont="1" applyFill="1" applyBorder="1"/>
    <xf numFmtId="5" fontId="19" fillId="0" borderId="71" xfId="17" applyNumberFormat="1" applyFont="1" applyFill="1" applyBorder="1"/>
    <xf numFmtId="5" fontId="17" fillId="0" borderId="39" xfId="17" applyNumberFormat="1" applyFont="1" applyFill="1" applyBorder="1"/>
    <xf numFmtId="0" fontId="17" fillId="0" borderId="0" xfId="29" applyFont="1" applyBorder="1" applyAlignment="1">
      <alignment horizontal="center" vertical="center"/>
    </xf>
    <xf numFmtId="0" fontId="19" fillId="0" borderId="0" xfId="29" applyFont="1" applyAlignment="1">
      <alignment vertical="center"/>
    </xf>
    <xf numFmtId="165" fontId="19" fillId="0" borderId="0" xfId="29" applyNumberFormat="1" applyFont="1" applyAlignment="1">
      <alignment vertical="top"/>
    </xf>
    <xf numFmtId="0" fontId="19" fillId="0" borderId="0" xfId="29" applyFont="1" applyAlignment="1">
      <alignment vertical="top"/>
    </xf>
    <xf numFmtId="0" fontId="9" fillId="0" borderId="0" xfId="29"/>
    <xf numFmtId="165" fontId="9" fillId="0" borderId="0" xfId="29" applyNumberFormat="1"/>
    <xf numFmtId="10" fontId="19" fillId="0" borderId="22" xfId="18" applyNumberFormat="1" applyFont="1" applyFill="1" applyBorder="1" applyAlignment="1">
      <alignment vertical="center"/>
    </xf>
    <xf numFmtId="165" fontId="17" fillId="0" borderId="32" xfId="1" applyNumberFormat="1" applyFont="1" applyFill="1" applyBorder="1" applyAlignment="1">
      <alignment vertical="center"/>
    </xf>
    <xf numFmtId="0" fontId="17" fillId="0" borderId="0" xfId="29" applyFont="1" applyAlignment="1">
      <alignment horizontal="center" vertical="center" wrapText="1"/>
    </xf>
    <xf numFmtId="0" fontId="19" fillId="0" borderId="0" xfId="29" applyFont="1" applyAlignment="1">
      <alignment wrapText="1"/>
    </xf>
    <xf numFmtId="0" fontId="17" fillId="4" borderId="16" xfId="29" applyFont="1" applyFill="1" applyBorder="1" applyAlignment="1">
      <alignment wrapText="1"/>
    </xf>
    <xf numFmtId="0" fontId="17" fillId="4" borderId="31" xfId="29" applyFont="1" applyFill="1" applyBorder="1" applyAlignment="1">
      <alignment wrapText="1"/>
    </xf>
    <xf numFmtId="0" fontId="17" fillId="4" borderId="24" xfId="29" applyFont="1" applyFill="1" applyBorder="1" applyAlignment="1">
      <alignment vertical="center"/>
    </xf>
    <xf numFmtId="0" fontId="17" fillId="4" borderId="0" xfId="29" applyFont="1" applyFill="1" applyBorder="1" applyAlignment="1">
      <alignment vertical="center"/>
    </xf>
    <xf numFmtId="0" fontId="17" fillId="4" borderId="0" xfId="29" applyFont="1" applyFill="1" applyBorder="1" applyAlignment="1">
      <alignment wrapText="1"/>
    </xf>
    <xf numFmtId="22" fontId="17" fillId="4" borderId="0" xfId="29" applyNumberFormat="1" applyFont="1" applyFill="1" applyBorder="1" applyAlignment="1">
      <alignment wrapText="1"/>
    </xf>
    <xf numFmtId="0" fontId="17" fillId="4" borderId="22" xfId="29" applyFont="1" applyFill="1" applyBorder="1" applyAlignment="1">
      <alignment wrapText="1"/>
    </xf>
    <xf numFmtId="0" fontId="19" fillId="0" borderId="0" xfId="29" applyFont="1" applyBorder="1" applyAlignment="1">
      <alignment vertical="center"/>
    </xf>
    <xf numFmtId="17" fontId="19" fillId="0" borderId="0" xfId="29" applyNumberFormat="1" applyFont="1" applyAlignment="1">
      <alignment vertical="center"/>
    </xf>
    <xf numFmtId="37" fontId="19" fillId="0" borderId="0" xfId="29" applyNumberFormat="1" applyFont="1" applyAlignment="1">
      <alignment vertical="center"/>
    </xf>
    <xf numFmtId="0" fontId="17" fillId="4" borderId="26" xfId="29" applyFont="1" applyFill="1" applyBorder="1" applyAlignment="1">
      <alignment vertical="center"/>
    </xf>
    <xf numFmtId="0" fontId="17" fillId="4" borderId="28" xfId="29" applyFont="1" applyFill="1" applyBorder="1" applyAlignment="1">
      <alignment vertical="top"/>
    </xf>
    <xf numFmtId="0" fontId="17" fillId="4" borderId="28" xfId="29" applyFont="1" applyFill="1" applyBorder="1" applyAlignment="1">
      <alignment vertical="center"/>
    </xf>
    <xf numFmtId="22" fontId="17" fillId="4" borderId="28" xfId="29" applyNumberFormat="1" applyFont="1" applyFill="1" applyBorder="1" applyAlignment="1">
      <alignment vertical="center"/>
    </xf>
    <xf numFmtId="0" fontId="17" fillId="4" borderId="32" xfId="29" applyFont="1" applyFill="1" applyBorder="1" applyAlignment="1">
      <alignment vertical="center"/>
    </xf>
    <xf numFmtId="165" fontId="19" fillId="0" borderId="0" xfId="29" applyNumberFormat="1" applyFont="1" applyAlignment="1">
      <alignment vertical="center"/>
    </xf>
    <xf numFmtId="37" fontId="17" fillId="0" borderId="0" xfId="29" applyNumberFormat="1" applyFont="1" applyAlignment="1">
      <alignment vertical="center"/>
    </xf>
    <xf numFmtId="0" fontId="19" fillId="0" borderId="0" xfId="29" applyFont="1" applyAlignment="1">
      <alignment horizontal="center" vertical="center"/>
    </xf>
    <xf numFmtId="5" fontId="19" fillId="0" borderId="0" xfId="4" applyFont="1" applyBorder="1"/>
    <xf numFmtId="5" fontId="17" fillId="0" borderId="0" xfId="0" applyNumberFormat="1" applyFont="1" applyAlignment="1">
      <alignment vertical="center"/>
    </xf>
    <xf numFmtId="0" fontId="19" fillId="0" borderId="21" xfId="0" applyFont="1" applyBorder="1" applyAlignment="1">
      <alignment vertical="center" wrapText="1"/>
    </xf>
    <xf numFmtId="0" fontId="17" fillId="0" borderId="21" xfId="0" applyFont="1" applyBorder="1" applyAlignment="1">
      <alignment horizontal="center" vertical="center" wrapText="1"/>
    </xf>
    <xf numFmtId="170" fontId="17" fillId="0" borderId="28" xfId="4" applyNumberFormat="1" applyFont="1" applyFill="1" applyBorder="1" applyAlignment="1">
      <alignment horizontal="center" vertical="center" wrapText="1"/>
    </xf>
    <xf numFmtId="5" fontId="17" fillId="0" borderId="21" xfId="4" applyFont="1" applyFill="1" applyBorder="1" applyAlignment="1">
      <alignment horizontal="center" vertical="center" wrapText="1"/>
    </xf>
    <xf numFmtId="0" fontId="17" fillId="0" borderId="30" xfId="0" applyFont="1" applyBorder="1" applyAlignment="1">
      <alignment horizontal="center" vertical="center" wrapText="1"/>
    </xf>
    <xf numFmtId="17" fontId="19" fillId="0" borderId="64" xfId="17" applyNumberFormat="1" applyFont="1" applyBorder="1" applyAlignment="1">
      <alignment vertical="center"/>
    </xf>
    <xf numFmtId="37" fontId="19" fillId="0" borderId="22" xfId="1" applyNumberFormat="1" applyFont="1" applyFill="1" applyBorder="1" applyAlignment="1">
      <alignment horizontal="right"/>
    </xf>
    <xf numFmtId="37" fontId="19" fillId="0" borderId="22" xfId="1" applyNumberFormat="1" applyFont="1" applyFill="1" applyBorder="1"/>
    <xf numFmtId="37" fontId="19" fillId="0" borderId="71" xfId="0" applyNumberFormat="1" applyFont="1" applyFill="1" applyBorder="1"/>
    <xf numFmtId="37" fontId="19" fillId="0" borderId="71" xfId="0" applyNumberFormat="1" applyFont="1" applyBorder="1"/>
    <xf numFmtId="37" fontId="19" fillId="0" borderId="57" xfId="1" applyNumberFormat="1" applyFont="1" applyFill="1" applyBorder="1"/>
    <xf numFmtId="37" fontId="17" fillId="0" borderId="22" xfId="1" applyNumberFormat="1" applyFont="1" applyFill="1" applyBorder="1" applyAlignment="1"/>
    <xf numFmtId="37" fontId="19" fillId="0" borderId="22" xfId="1" applyNumberFormat="1" applyFont="1" applyFill="1" applyBorder="1" applyAlignment="1"/>
    <xf numFmtId="5" fontId="17" fillId="0" borderId="22" xfId="1" applyNumberFormat="1" applyFont="1" applyFill="1" applyBorder="1" applyAlignment="1"/>
    <xf numFmtId="10" fontId="19" fillId="0" borderId="15" xfId="18" applyNumberFormat="1" applyFont="1" applyFill="1" applyBorder="1" applyAlignment="1">
      <alignment vertical="center"/>
    </xf>
    <xf numFmtId="10" fontId="19" fillId="0" borderId="14" xfId="18" applyNumberFormat="1" applyFont="1" applyFill="1" applyBorder="1" applyAlignment="1">
      <alignment vertical="center"/>
    </xf>
    <xf numFmtId="37" fontId="19" fillId="0" borderId="22" xfId="1" applyNumberFormat="1" applyFont="1" applyFill="1" applyBorder="1" applyAlignment="1">
      <alignment horizontal="right" vertical="center"/>
    </xf>
    <xf numFmtId="37" fontId="19" fillId="5" borderId="22" xfId="1" applyNumberFormat="1" applyFont="1" applyFill="1" applyBorder="1" applyAlignment="1">
      <alignment horizontal="right" vertical="center"/>
    </xf>
    <xf numFmtId="37" fontId="19" fillId="0" borderId="22" xfId="1" applyNumberFormat="1" applyFont="1" applyFill="1" applyBorder="1" applyAlignment="1">
      <alignment vertical="center"/>
    </xf>
    <xf numFmtId="165" fontId="19" fillId="0" borderId="22" xfId="1" applyNumberFormat="1" applyFont="1" applyFill="1" applyBorder="1" applyAlignment="1">
      <alignment vertical="center"/>
    </xf>
    <xf numFmtId="0" fontId="19" fillId="0" borderId="54" xfId="0" applyNumberFormat="1" applyFont="1" applyBorder="1" applyAlignment="1">
      <alignment horizontal="center" wrapText="1"/>
    </xf>
    <xf numFmtId="0" fontId="17" fillId="0" borderId="55" xfId="0" applyNumberFormat="1" applyFont="1" applyBorder="1" applyAlignment="1">
      <alignment horizontal="center" vertical="center" wrapText="1"/>
    </xf>
    <xf numFmtId="37" fontId="19" fillId="0" borderId="59" xfId="0" applyNumberFormat="1" applyFont="1" applyBorder="1"/>
    <xf numFmtId="37" fontId="17" fillId="0" borderId="57" xfId="0" applyNumberFormat="1" applyFont="1" applyFill="1" applyBorder="1"/>
    <xf numFmtId="169" fontId="19" fillId="0" borderId="24" xfId="17" applyNumberFormat="1" applyFont="1" applyFill="1" applyBorder="1" applyAlignment="1">
      <alignment vertical="center"/>
    </xf>
    <xf numFmtId="37" fontId="17" fillId="0" borderId="57" xfId="0" applyNumberFormat="1" applyFont="1" applyBorder="1"/>
    <xf numFmtId="37" fontId="19" fillId="0" borderId="59" xfId="0" applyNumberFormat="1" applyFont="1" applyFill="1" applyBorder="1"/>
    <xf numFmtId="37" fontId="19" fillId="0" borderId="22" xfId="0" applyNumberFormat="1" applyFont="1" applyFill="1" applyBorder="1"/>
    <xf numFmtId="37" fontId="17" fillId="0" borderId="22" xfId="0" applyNumberFormat="1" applyFont="1" applyFill="1" applyBorder="1"/>
    <xf numFmtId="10" fontId="19" fillId="0" borderId="22" xfId="18" applyNumberFormat="1" applyFont="1" applyFill="1" applyBorder="1"/>
    <xf numFmtId="0" fontId="19" fillId="6" borderId="31" xfId="0" applyFont="1" applyFill="1" applyBorder="1" applyAlignment="1"/>
    <xf numFmtId="0" fontId="19" fillId="6" borderId="22" xfId="0" applyFont="1" applyFill="1" applyBorder="1" applyAlignment="1"/>
    <xf numFmtId="5" fontId="19" fillId="6" borderId="22" xfId="17" applyNumberFormat="1" applyFont="1" applyFill="1" applyBorder="1"/>
    <xf numFmtId="0" fontId="19" fillId="0" borderId="22" xfId="0" applyFont="1" applyFill="1" applyBorder="1" applyAlignment="1"/>
    <xf numFmtId="0" fontId="19" fillId="0" borderId="22" xfId="0" applyFont="1" applyFill="1" applyBorder="1" applyAlignment="1">
      <alignment horizontal="center"/>
    </xf>
    <xf numFmtId="0" fontId="19" fillId="0" borderId="63" xfId="17" applyFont="1" applyFill="1" applyBorder="1" applyAlignment="1">
      <alignment horizontal="center" vertical="top"/>
    </xf>
    <xf numFmtId="5" fontId="19" fillId="0" borderId="71" xfId="1" applyNumberFormat="1" applyFont="1" applyFill="1" applyBorder="1" applyAlignment="1">
      <alignment horizontal="right"/>
    </xf>
    <xf numFmtId="0" fontId="17" fillId="0" borderId="64" xfId="17" applyFont="1" applyFill="1" applyBorder="1" applyAlignment="1">
      <alignment vertical="center"/>
    </xf>
    <xf numFmtId="5" fontId="17" fillId="0" borderId="71" xfId="1" applyNumberFormat="1" applyFont="1" applyFill="1" applyBorder="1" applyAlignment="1"/>
    <xf numFmtId="0" fontId="0" fillId="0" borderId="24" xfId="0" applyBorder="1"/>
    <xf numFmtId="0" fontId="0" fillId="0" borderId="22" xfId="0" applyBorder="1"/>
    <xf numFmtId="5" fontId="19" fillId="0" borderId="0" xfId="4" applyNumberFormat="1" applyFont="1" applyFill="1" applyBorder="1" applyAlignment="1">
      <alignment vertical="center" wrapText="1"/>
    </xf>
    <xf numFmtId="5" fontId="19" fillId="0" borderId="0" xfId="4" applyFont="1" applyFill="1" applyBorder="1" applyAlignment="1">
      <alignment vertical="center" wrapText="1"/>
    </xf>
    <xf numFmtId="177" fontId="19" fillId="0" borderId="0" xfId="18" applyNumberFormat="1" applyFont="1" applyFill="1" applyBorder="1" applyAlignment="1">
      <alignment vertical="top"/>
    </xf>
    <xf numFmtId="10" fontId="19" fillId="0" borderId="0" xfId="18" applyFont="1" applyFill="1" applyBorder="1" applyAlignment="1">
      <alignment vertical="top"/>
    </xf>
    <xf numFmtId="0" fontId="19" fillId="0" borderId="0" xfId="0" applyFont="1" applyAlignment="1">
      <alignment vertical="center"/>
    </xf>
    <xf numFmtId="165" fontId="24" fillId="0" borderId="0" xfId="1" applyNumberFormat="1" applyFont="1" applyBorder="1" applyAlignment="1">
      <alignment vertical="center"/>
    </xf>
    <xf numFmtId="0" fontId="24" fillId="0" borderId="15" xfId="0" applyFont="1" applyBorder="1" applyAlignment="1">
      <alignment vertical="center" wrapText="1"/>
    </xf>
    <xf numFmtId="0" fontId="24" fillId="0" borderId="21" xfId="0" applyFont="1" applyBorder="1" applyAlignment="1">
      <alignment vertical="center" wrapText="1"/>
    </xf>
    <xf numFmtId="5" fontId="24" fillId="0" borderId="0" xfId="0" applyNumberFormat="1" applyFont="1" applyFill="1" applyBorder="1" applyAlignment="1">
      <alignment vertical="center"/>
    </xf>
    <xf numFmtId="0" fontId="16" fillId="6" borderId="25" xfId="0" applyFont="1" applyFill="1" applyBorder="1" applyAlignment="1">
      <alignment vertical="center"/>
    </xf>
    <xf numFmtId="0" fontId="16" fillId="6" borderId="68" xfId="0" applyFont="1" applyFill="1" applyBorder="1" applyAlignment="1">
      <alignment vertical="center" wrapText="1"/>
    </xf>
    <xf numFmtId="0" fontId="16" fillId="6" borderId="68" xfId="0" applyFont="1" applyFill="1" applyBorder="1" applyAlignment="1">
      <alignment vertical="center"/>
    </xf>
    <xf numFmtId="0" fontId="16" fillId="6" borderId="69" xfId="0" applyFont="1" applyFill="1" applyBorder="1" applyAlignment="1">
      <alignment vertical="center"/>
    </xf>
    <xf numFmtId="0" fontId="16" fillId="6" borderId="16" xfId="0" applyFont="1" applyFill="1" applyBorder="1" applyAlignment="1">
      <alignment vertical="center"/>
    </xf>
    <xf numFmtId="0" fontId="16" fillId="6" borderId="31" xfId="0" applyFont="1" applyFill="1" applyBorder="1" applyAlignment="1">
      <alignment vertical="center"/>
    </xf>
    <xf numFmtId="5" fontId="19" fillId="0" borderId="0" xfId="17" applyNumberFormat="1" applyFont="1" applyAlignment="1">
      <alignment vertical="center"/>
    </xf>
    <xf numFmtId="5" fontId="19" fillId="6" borderId="22" xfId="0" applyNumberFormat="1" applyFont="1" applyFill="1" applyBorder="1" applyAlignment="1"/>
    <xf numFmtId="6" fontId="19" fillId="0" borderId="0" xfId="0" applyNumberFormat="1" applyFont="1"/>
    <xf numFmtId="10" fontId="17" fillId="0" borderId="0" xfId="18" applyFont="1" applyFill="1" applyBorder="1" applyAlignment="1"/>
    <xf numFmtId="0" fontId="17" fillId="0" borderId="64" xfId="17" applyFont="1" applyFill="1" applyBorder="1" applyAlignment="1">
      <alignment vertical="center" wrapText="1"/>
    </xf>
    <xf numFmtId="5" fontId="17" fillId="0" borderId="6" xfId="1" applyNumberFormat="1" applyFont="1" applyFill="1" applyBorder="1" applyAlignment="1"/>
    <xf numFmtId="0" fontId="17" fillId="0" borderId="64" xfId="17" applyFont="1" applyBorder="1" applyAlignment="1">
      <alignment vertical="center" wrapText="1"/>
    </xf>
    <xf numFmtId="165" fontId="19" fillId="0" borderId="0" xfId="1" applyNumberFormat="1" applyFont="1" applyFill="1" applyBorder="1" applyAlignment="1">
      <alignment horizontal="right" vertical="center" wrapText="1"/>
    </xf>
    <xf numFmtId="165" fontId="19" fillId="0" borderId="15" xfId="4" applyNumberFormat="1" applyFont="1" applyFill="1" applyBorder="1" applyAlignment="1">
      <alignment horizontal="right" vertical="center"/>
    </xf>
    <xf numFmtId="0" fontId="19" fillId="6" borderId="73" xfId="0" applyFont="1" applyFill="1" applyBorder="1" applyAlignment="1">
      <alignment vertical="center"/>
    </xf>
    <xf numFmtId="0" fontId="19" fillId="6" borderId="29" xfId="0" applyFont="1" applyFill="1" applyBorder="1" applyAlignment="1">
      <alignment vertical="center"/>
    </xf>
    <xf numFmtId="0" fontId="19" fillId="6" borderId="73" xfId="0" applyFont="1" applyFill="1" applyBorder="1" applyAlignment="1">
      <alignment vertical="center" wrapText="1"/>
    </xf>
    <xf numFmtId="0" fontId="19" fillId="6" borderId="74" xfId="0" applyFont="1" applyFill="1" applyBorder="1" applyAlignment="1">
      <alignment vertical="center"/>
    </xf>
    <xf numFmtId="0" fontId="19" fillId="6" borderId="1" xfId="0" applyFont="1" applyFill="1" applyBorder="1" applyAlignment="1">
      <alignment vertical="center"/>
    </xf>
    <xf numFmtId="0" fontId="17" fillId="0" borderId="13" xfId="17" applyFont="1" applyBorder="1" applyAlignment="1">
      <alignment horizontal="center" vertical="center" wrapText="1"/>
    </xf>
    <xf numFmtId="0" fontId="17" fillId="0" borderId="17" xfId="17" applyFont="1" applyBorder="1" applyAlignment="1">
      <alignment horizontal="center" vertical="center" wrapText="1"/>
    </xf>
    <xf numFmtId="0" fontId="17" fillId="0" borderId="11" xfId="17" applyFont="1" applyBorder="1" applyAlignment="1">
      <alignment horizontal="center" vertical="center" wrapText="1"/>
    </xf>
    <xf numFmtId="0" fontId="17" fillId="0" borderId="72" xfId="17" applyFont="1" applyBorder="1" applyAlignment="1">
      <alignment horizontal="center" vertical="center" wrapText="1"/>
    </xf>
    <xf numFmtId="0" fontId="17" fillId="0" borderId="11" xfId="17" applyFont="1" applyFill="1" applyBorder="1" applyAlignment="1">
      <alignment horizontal="center" vertical="center" wrapText="1"/>
    </xf>
    <xf numFmtId="0" fontId="17" fillId="0" borderId="17" xfId="17" applyFont="1" applyFill="1" applyBorder="1" applyAlignment="1">
      <alignment horizontal="center" vertical="center" wrapText="1"/>
    </xf>
    <xf numFmtId="0" fontId="17" fillId="0" borderId="72" xfId="17" applyFont="1" applyFill="1" applyBorder="1" applyAlignment="1">
      <alignment horizontal="center" vertical="center" wrapText="1"/>
    </xf>
    <xf numFmtId="171" fontId="17" fillId="0" borderId="1" xfId="0" applyNumberFormat="1" applyFont="1" applyBorder="1" applyAlignment="1">
      <alignment horizontal="center" vertical="center" wrapText="1"/>
    </xf>
    <xf numFmtId="171" fontId="17" fillId="0" borderId="94" xfId="0" applyNumberFormat="1" applyFont="1" applyBorder="1" applyAlignment="1">
      <alignment horizontal="center" vertical="center" wrapText="1"/>
    </xf>
    <xf numFmtId="179" fontId="33" fillId="8" borderId="0" xfId="0" applyNumberFormat="1" applyFont="1" applyFill="1" applyAlignment="1">
      <alignment horizontal="right"/>
    </xf>
    <xf numFmtId="179" fontId="19" fillId="0" borderId="0" xfId="0" applyNumberFormat="1" applyFont="1"/>
    <xf numFmtId="0" fontId="19" fillId="0" borderId="121" xfId="17" applyFont="1" applyFill="1" applyBorder="1" applyAlignment="1">
      <alignment horizontal="center" vertical="center" wrapText="1"/>
    </xf>
    <xf numFmtId="10" fontId="19" fillId="0" borderId="0" xfId="18" applyFont="1" applyFill="1" applyBorder="1"/>
    <xf numFmtId="180" fontId="19" fillId="0" borderId="0" xfId="28" applyNumberFormat="1" applyFont="1" applyAlignment="1">
      <alignment vertical="top" wrapText="1"/>
    </xf>
    <xf numFmtId="0" fontId="19" fillId="0" borderId="0" xfId="17" applyFont="1" applyFill="1" applyBorder="1" applyAlignment="1">
      <alignment horizontal="left" wrapText="1"/>
    </xf>
    <xf numFmtId="0" fontId="19" fillId="0" borderId="0" xfId="0" applyFont="1" applyFill="1" applyBorder="1" applyAlignment="1">
      <alignment horizontal="left"/>
    </xf>
    <xf numFmtId="0" fontId="19" fillId="0" borderId="0" xfId="0" quotePrefix="1" applyFont="1" applyAlignment="1">
      <alignment vertical="center"/>
    </xf>
    <xf numFmtId="165" fontId="19" fillId="0" borderId="0" xfId="18" applyNumberFormat="1" applyFont="1" applyAlignment="1">
      <alignment vertical="center"/>
    </xf>
    <xf numFmtId="0" fontId="19" fillId="0" borderId="0" xfId="29" applyFont="1"/>
    <xf numFmtId="165" fontId="34" fillId="0" borderId="0" xfId="1" applyNumberFormat="1" applyFont="1" applyFill="1" applyBorder="1" applyAlignment="1">
      <alignment vertical="center"/>
    </xf>
    <xf numFmtId="0" fontId="16" fillId="0" borderId="0" xfId="17" applyFont="1" applyAlignment="1">
      <alignment vertical="center" wrapText="1"/>
    </xf>
    <xf numFmtId="165" fontId="34" fillId="0" borderId="22" xfId="1" applyNumberFormat="1" applyFont="1" applyFill="1" applyBorder="1" applyAlignment="1">
      <alignment horizontal="right" vertical="center"/>
    </xf>
    <xf numFmtId="5" fontId="17" fillId="0" borderId="0" xfId="0" applyNumberFormat="1" applyFont="1" applyAlignment="1">
      <alignment vertical="center" wrapText="1"/>
    </xf>
    <xf numFmtId="0" fontId="9" fillId="0" borderId="0" xfId="0" applyFont="1" applyAlignment="1">
      <alignment wrapText="1"/>
    </xf>
    <xf numFmtId="0" fontId="16" fillId="0" borderId="0" xfId="0" applyFont="1" applyAlignment="1">
      <alignment wrapText="1"/>
    </xf>
    <xf numFmtId="0" fontId="16" fillId="0" borderId="0" xfId="17" applyFont="1" applyAlignment="1">
      <alignment wrapText="1"/>
    </xf>
    <xf numFmtId="0" fontId="16" fillId="0" borderId="0" xfId="0" applyFont="1" applyAlignment="1">
      <alignment vertical="center" wrapText="1"/>
    </xf>
    <xf numFmtId="5" fontId="34" fillId="0" borderId="0" xfId="4" applyNumberFormat="1" applyFont="1" applyFill="1" applyBorder="1" applyAlignment="1">
      <alignment vertical="center" wrapText="1"/>
    </xf>
    <xf numFmtId="5" fontId="34" fillId="0" borderId="0" xfId="4" applyFont="1" applyFill="1" applyBorder="1" applyAlignment="1">
      <alignment vertical="center" wrapText="1"/>
    </xf>
    <xf numFmtId="5" fontId="34" fillId="0" borderId="6" xfId="1" applyNumberFormat="1" applyFont="1" applyFill="1" applyBorder="1"/>
    <xf numFmtId="5" fontId="34" fillId="0" borderId="18" xfId="1" applyNumberFormat="1" applyFont="1" applyFill="1" applyBorder="1" applyAlignment="1">
      <alignment horizontal="right"/>
    </xf>
    <xf numFmtId="5" fontId="34" fillId="0" borderId="71" xfId="17" applyNumberFormat="1" applyFont="1" applyFill="1" applyBorder="1"/>
    <xf numFmtId="5" fontId="34" fillId="0" borderId="6" xfId="17" applyNumberFormat="1" applyFont="1" applyFill="1" applyBorder="1"/>
    <xf numFmtId="5" fontId="34" fillId="0" borderId="18" xfId="17" applyNumberFormat="1" applyFont="1" applyFill="1" applyBorder="1"/>
    <xf numFmtId="5" fontId="34" fillId="0" borderId="0" xfId="17" applyNumberFormat="1" applyFont="1" applyFill="1" applyBorder="1"/>
    <xf numFmtId="165" fontId="34" fillId="0" borderId="6" xfId="1" applyNumberFormat="1" applyFont="1" applyFill="1" applyBorder="1" applyAlignment="1">
      <alignment vertical="center"/>
    </xf>
    <xf numFmtId="165" fontId="34" fillId="0" borderId="71" xfId="1" applyNumberFormat="1" applyFont="1" applyFill="1" applyBorder="1" applyAlignment="1">
      <alignment vertical="center"/>
    </xf>
    <xf numFmtId="5" fontId="34" fillId="0" borderId="22" xfId="17" applyNumberFormat="1" applyFont="1" applyFill="1" applyBorder="1"/>
    <xf numFmtId="5" fontId="34" fillId="0" borderId="0" xfId="4" applyNumberFormat="1" applyFont="1" applyFill="1" applyBorder="1" applyAlignment="1">
      <alignment vertical="center"/>
    </xf>
    <xf numFmtId="5" fontId="34" fillId="0" borderId="1" xfId="4" applyNumberFormat="1" applyFont="1" applyFill="1" applyBorder="1" applyAlignment="1">
      <alignment vertical="center"/>
    </xf>
    <xf numFmtId="37" fontId="34" fillId="0" borderId="22" xfId="1" applyNumberFormat="1" applyFont="1" applyFill="1" applyBorder="1"/>
    <xf numFmtId="0" fontId="16" fillId="0" borderId="0" xfId="17" applyFont="1" applyFill="1" applyBorder="1" applyAlignment="1">
      <alignment horizontal="left" vertical="center" wrapText="1"/>
    </xf>
    <xf numFmtId="0" fontId="0" fillId="0" borderId="0" xfId="0" applyBorder="1" applyAlignment="1">
      <alignment horizontal="left"/>
    </xf>
    <xf numFmtId="165" fontId="34" fillId="0" borderId="86" xfId="1" applyNumberFormat="1" applyFont="1" applyFill="1" applyBorder="1" applyAlignment="1">
      <alignment vertical="center"/>
    </xf>
    <xf numFmtId="165" fontId="34" fillId="0" borderId="87" xfId="1" applyNumberFormat="1" applyFont="1" applyFill="1" applyBorder="1" applyAlignment="1">
      <alignment horizontal="right" vertical="center"/>
    </xf>
    <xf numFmtId="37" fontId="34" fillId="0" borderId="57" xfId="1" applyNumberFormat="1" applyFont="1" applyFill="1" applyBorder="1"/>
    <xf numFmtId="5" fontId="34" fillId="0" borderId="39" xfId="17" applyNumberFormat="1" applyFont="1" applyFill="1" applyBorder="1"/>
    <xf numFmtId="5" fontId="34" fillId="0" borderId="20" xfId="17" applyNumberFormat="1" applyFont="1" applyFill="1" applyBorder="1"/>
    <xf numFmtId="5" fontId="34" fillId="0" borderId="19" xfId="17" applyNumberFormat="1" applyFont="1" applyFill="1" applyBorder="1"/>
    <xf numFmtId="5" fontId="34" fillId="0" borderId="57" xfId="17" applyNumberFormat="1" applyFont="1" applyFill="1" applyBorder="1"/>
    <xf numFmtId="172" fontId="35" fillId="0" borderId="0" xfId="1" applyFont="1"/>
    <xf numFmtId="172" fontId="19" fillId="0" borderId="28" xfId="1" applyFont="1" applyFill="1" applyBorder="1" applyAlignment="1">
      <alignment vertical="center"/>
    </xf>
    <xf numFmtId="172" fontId="19" fillId="0" borderId="1" xfId="1" applyFont="1" applyFill="1" applyBorder="1" applyAlignment="1">
      <alignment vertical="center"/>
    </xf>
    <xf numFmtId="37" fontId="34" fillId="0" borderId="0" xfId="1" applyNumberFormat="1" applyFont="1" applyFill="1" applyBorder="1" applyAlignment="1">
      <alignment horizontal="center" vertical="center"/>
    </xf>
    <xf numFmtId="0" fontId="17" fillId="4" borderId="24" xfId="17" applyFont="1" applyFill="1" applyBorder="1" applyAlignment="1">
      <alignment vertical="center"/>
    </xf>
    <xf numFmtId="0" fontId="17" fillId="4" borderId="0" xfId="17" applyFont="1" applyFill="1" applyBorder="1" applyAlignment="1">
      <alignment vertical="center"/>
    </xf>
    <xf numFmtId="5" fontId="19" fillId="0" borderId="18" xfId="1" applyNumberFormat="1" applyFont="1" applyFill="1" applyBorder="1" applyAlignment="1"/>
    <xf numFmtId="5" fontId="19" fillId="0" borderId="22" xfId="4" applyFont="1" applyFill="1" applyBorder="1" applyAlignment="1">
      <alignment vertical="top"/>
    </xf>
    <xf numFmtId="5" fontId="19" fillId="0" borderId="6" xfId="4" applyFont="1" applyFill="1" applyBorder="1" applyAlignment="1"/>
    <xf numFmtId="5" fontId="19" fillId="0" borderId="15" xfId="1" applyNumberFormat="1" applyFont="1" applyFill="1" applyBorder="1" applyAlignment="1">
      <alignment vertical="center"/>
    </xf>
    <xf numFmtId="5" fontId="19" fillId="0" borderId="27" xfId="4" applyNumberFormat="1" applyFont="1" applyFill="1" applyBorder="1" applyAlignment="1">
      <alignment vertical="center"/>
    </xf>
    <xf numFmtId="5" fontId="24" fillId="0" borderId="15" xfId="4" applyFont="1" applyFill="1" applyBorder="1" applyAlignment="1">
      <alignment vertical="center"/>
    </xf>
    <xf numFmtId="5" fontId="19" fillId="0" borderId="21" xfId="4" applyNumberFormat="1" applyFont="1" applyFill="1" applyBorder="1" applyAlignment="1">
      <alignment vertical="center"/>
    </xf>
    <xf numFmtId="165" fontId="24" fillId="0" borderId="25" xfId="1" applyNumberFormat="1" applyFont="1" applyFill="1" applyBorder="1" applyAlignment="1">
      <alignment vertical="center"/>
    </xf>
    <xf numFmtId="165" fontId="24" fillId="0" borderId="24" xfId="1" applyNumberFormat="1" applyFont="1" applyFill="1" applyBorder="1" applyAlignment="1">
      <alignment vertical="center"/>
    </xf>
    <xf numFmtId="165" fontId="19" fillId="0" borderId="26" xfId="1" applyNumberFormat="1" applyFont="1" applyFill="1" applyBorder="1" applyAlignment="1">
      <alignment vertical="center"/>
    </xf>
    <xf numFmtId="172" fontId="19" fillId="4" borderId="0" xfId="0" applyNumberFormat="1" applyFont="1" applyFill="1"/>
    <xf numFmtId="5" fontId="19" fillId="0" borderId="19" xfId="4" applyFont="1" applyFill="1" applyBorder="1" applyAlignment="1">
      <alignment vertical="center"/>
    </xf>
    <xf numFmtId="5" fontId="19" fillId="0" borderId="10" xfId="4" applyFont="1" applyFill="1" applyBorder="1" applyAlignment="1">
      <alignment vertical="center"/>
    </xf>
    <xf numFmtId="5" fontId="19" fillId="0" borderId="128" xfId="4" applyFont="1" applyFill="1" applyBorder="1" applyAlignment="1">
      <alignment vertical="center"/>
    </xf>
    <xf numFmtId="5" fontId="19" fillId="0" borderId="42" xfId="4" applyFont="1" applyFill="1" applyBorder="1" applyAlignment="1">
      <alignment vertical="center"/>
    </xf>
    <xf numFmtId="0" fontId="57" fillId="0" borderId="0" xfId="0" applyFont="1"/>
    <xf numFmtId="165" fontId="19" fillId="0" borderId="15" xfId="1" applyNumberFormat="1" applyFont="1" applyFill="1" applyBorder="1" applyAlignment="1">
      <alignment horizontal="right" vertical="center"/>
    </xf>
    <xf numFmtId="7" fontId="34" fillId="0" borderId="6" xfId="17" applyNumberFormat="1" applyFont="1" applyFill="1" applyBorder="1"/>
    <xf numFmtId="7" fontId="34" fillId="0" borderId="19" xfId="17" applyNumberFormat="1" applyFont="1" applyFill="1" applyBorder="1"/>
    <xf numFmtId="0" fontId="19" fillId="0" borderId="0" xfId="29" applyFont="1" applyAlignment="1">
      <alignment vertical="center" wrapText="1"/>
    </xf>
    <xf numFmtId="0" fontId="16" fillId="0" borderId="0" xfId="0" applyFont="1" applyFill="1" applyBorder="1" applyAlignment="1">
      <alignment vertical="top" wrapText="1"/>
    </xf>
    <xf numFmtId="165" fontId="19" fillId="0" borderId="17" xfId="1" applyNumberFormat="1" applyFont="1" applyFill="1" applyBorder="1" applyAlignment="1">
      <alignment vertical="center"/>
    </xf>
    <xf numFmtId="5" fontId="59" fillId="0" borderId="0" xfId="0" applyNumberFormat="1" applyFont="1" applyAlignment="1">
      <alignment vertical="center" wrapText="1"/>
    </xf>
    <xf numFmtId="10" fontId="19" fillId="0" borderId="0" xfId="18" applyFont="1" applyBorder="1"/>
    <xf numFmtId="5" fontId="24" fillId="0" borderId="0" xfId="1107" applyNumberFormat="1" applyFont="1" applyFill="1"/>
    <xf numFmtId="5" fontId="35" fillId="0" borderId="15" xfId="1112" applyNumberFormat="1" applyFont="1" applyFill="1" applyBorder="1" applyAlignment="1">
      <alignment vertical="center"/>
    </xf>
    <xf numFmtId="5" fontId="24" fillId="0" borderId="0" xfId="1107" applyNumberFormat="1" applyFont="1" applyFill="1"/>
    <xf numFmtId="165" fontId="24" fillId="0" borderId="24" xfId="1" applyNumberFormat="1" applyFont="1" applyFill="1" applyBorder="1" applyAlignment="1">
      <alignment horizontal="right" vertical="center"/>
    </xf>
    <xf numFmtId="5" fontId="17" fillId="0" borderId="28" xfId="4" applyFont="1" applyFill="1" applyBorder="1" applyAlignment="1">
      <alignment horizontal="center" vertical="center" wrapText="1"/>
    </xf>
    <xf numFmtId="0" fontId="19" fillId="0" borderId="27" xfId="0" applyFont="1" applyBorder="1" applyAlignment="1">
      <alignment horizontal="center" vertical="center" textRotation="90" wrapText="1"/>
    </xf>
    <xf numFmtId="0" fontId="19" fillId="0" borderId="15" xfId="0" applyFont="1" applyBorder="1" applyAlignment="1">
      <alignment horizontal="center" vertical="center" textRotation="90" wrapText="1"/>
    </xf>
    <xf numFmtId="0" fontId="19" fillId="0" borderId="21" xfId="0" applyFont="1" applyBorder="1" applyAlignment="1">
      <alignment horizontal="center" vertical="center" textRotation="90" wrapText="1"/>
    </xf>
    <xf numFmtId="0" fontId="19" fillId="0" borderId="27" xfId="0" applyFont="1" applyFill="1" applyBorder="1" applyAlignment="1">
      <alignment horizontal="center" vertical="center"/>
    </xf>
    <xf numFmtId="0" fontId="19" fillId="0" borderId="21" xfId="0" applyFont="1" applyFill="1" applyBorder="1" applyAlignment="1">
      <alignment horizontal="center" vertical="center"/>
    </xf>
    <xf numFmtId="0" fontId="19" fillId="6" borderId="25" xfId="0" applyFont="1" applyFill="1" applyBorder="1" applyAlignment="1">
      <alignment horizontal="left" vertical="center"/>
    </xf>
    <xf numFmtId="0" fontId="19" fillId="6" borderId="16" xfId="0" applyFont="1" applyFill="1" applyBorder="1" applyAlignment="1">
      <alignment horizontal="left" vertical="center"/>
    </xf>
    <xf numFmtId="0" fontId="19" fillId="6" borderId="31" xfId="0" applyFont="1" applyFill="1" applyBorder="1" applyAlignment="1">
      <alignment horizontal="left" vertical="center"/>
    </xf>
    <xf numFmtId="0" fontId="19" fillId="6" borderId="24" xfId="0" applyFont="1" applyFill="1" applyBorder="1" applyAlignment="1">
      <alignment horizontal="left" vertical="top" wrapText="1"/>
    </xf>
    <xf numFmtId="0" fontId="19" fillId="6" borderId="0" xfId="0" applyFont="1" applyFill="1" applyBorder="1" applyAlignment="1">
      <alignment horizontal="left" vertical="top" wrapText="1"/>
    </xf>
    <xf numFmtId="0" fontId="19" fillId="6" borderId="22" xfId="0" applyFont="1" applyFill="1" applyBorder="1" applyAlignment="1">
      <alignment horizontal="left" vertical="top" wrapText="1"/>
    </xf>
    <xf numFmtId="0" fontId="17" fillId="0" borderId="0" xfId="16" applyFont="1" applyBorder="1" applyAlignment="1">
      <alignment horizontal="center" vertical="center"/>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9" fillId="0" borderId="0" xfId="0" applyFont="1" applyAlignment="1">
      <alignment horizontal="center" vertical="top" wrapText="1"/>
    </xf>
    <xf numFmtId="0" fontId="17" fillId="0" borderId="29" xfId="28" applyFont="1" applyBorder="1" applyAlignment="1">
      <alignment horizontal="center" vertical="center"/>
    </xf>
    <xf numFmtId="0" fontId="17" fillId="0" borderId="1" xfId="28" applyFont="1" applyBorder="1" applyAlignment="1">
      <alignment horizontal="center" vertical="center"/>
    </xf>
    <xf numFmtId="0" fontId="17" fillId="0" borderId="30" xfId="28" applyFont="1" applyBorder="1" applyAlignment="1">
      <alignment horizontal="center" vertical="center"/>
    </xf>
    <xf numFmtId="0" fontId="17" fillId="0" borderId="25" xfId="28" applyFont="1" applyBorder="1" applyAlignment="1">
      <alignment horizontal="center" vertical="center" textRotation="90" wrapText="1"/>
    </xf>
    <xf numFmtId="0" fontId="17" fillId="0" borderId="24" xfId="28" applyFont="1" applyBorder="1" applyAlignment="1">
      <alignment horizontal="center" vertical="center" textRotation="90" wrapText="1"/>
    </xf>
    <xf numFmtId="0" fontId="17" fillId="0" borderId="26" xfId="28" applyFont="1" applyBorder="1" applyAlignment="1">
      <alignment horizontal="center" vertical="center" textRotation="90" wrapText="1"/>
    </xf>
    <xf numFmtId="0" fontId="17" fillId="0" borderId="29" xfId="28" applyFont="1" applyBorder="1" applyAlignment="1">
      <alignment horizontal="center" vertical="center" wrapText="1"/>
    </xf>
    <xf numFmtId="0" fontId="17" fillId="0" borderId="1" xfId="28" applyFont="1" applyBorder="1" applyAlignment="1">
      <alignment horizontal="center" vertical="center" wrapText="1"/>
    </xf>
    <xf numFmtId="0" fontId="24" fillId="0" borderId="0" xfId="29" applyFont="1" applyAlignment="1">
      <alignment vertical="top"/>
    </xf>
    <xf numFmtId="0" fontId="19" fillId="0" borderId="0" xfId="29" applyFont="1"/>
    <xf numFmtId="0" fontId="17" fillId="0" borderId="51" xfId="29" applyFont="1" applyBorder="1" applyAlignment="1">
      <alignment horizontal="center" vertical="center"/>
    </xf>
    <xf numFmtId="0" fontId="17" fillId="0" borderId="52" xfId="29" applyFont="1" applyBorder="1" applyAlignment="1">
      <alignment horizontal="center" vertical="center"/>
    </xf>
    <xf numFmtId="0" fontId="17" fillId="0" borderId="53" xfId="29" applyFont="1" applyBorder="1" applyAlignment="1">
      <alignment horizontal="center" vertical="center"/>
    </xf>
    <xf numFmtId="0" fontId="16" fillId="0" borderId="88" xfId="17" applyFont="1" applyFill="1" applyBorder="1" applyAlignment="1">
      <alignment horizontal="left" vertical="center"/>
    </xf>
    <xf numFmtId="0" fontId="16" fillId="0" borderId="60" xfId="17" applyFont="1" applyFill="1" applyBorder="1" applyAlignment="1">
      <alignment horizontal="left" vertical="center"/>
    </xf>
    <xf numFmtId="0" fontId="16" fillId="0" borderId="89" xfId="17" applyFont="1" applyFill="1" applyBorder="1" applyAlignment="1">
      <alignment horizontal="left" vertical="center"/>
    </xf>
    <xf numFmtId="0" fontId="16" fillId="0" borderId="24" xfId="17" applyFont="1" applyFill="1" applyBorder="1" applyAlignment="1">
      <alignment horizontal="left" vertical="center" wrapText="1"/>
    </xf>
    <xf numFmtId="0" fontId="16" fillId="0" borderId="0" xfId="17" applyFont="1" applyFill="1" applyBorder="1" applyAlignment="1">
      <alignment horizontal="left" vertical="center" wrapText="1"/>
    </xf>
    <xf numFmtId="0" fontId="16" fillId="0" borderId="22" xfId="17" applyFont="1" applyFill="1" applyBorder="1" applyAlignment="1">
      <alignment horizontal="left" vertical="center" wrapText="1"/>
    </xf>
    <xf numFmtId="0" fontId="16" fillId="0" borderId="92" xfId="17" applyFont="1" applyFill="1" applyBorder="1" applyAlignment="1">
      <alignment horizontal="left" vertical="center" wrapText="1"/>
    </xf>
    <xf numFmtId="0" fontId="16" fillId="0" borderId="48" xfId="17" applyFont="1" applyFill="1" applyBorder="1" applyAlignment="1">
      <alignment horizontal="left" vertical="center" wrapText="1"/>
    </xf>
    <xf numFmtId="0" fontId="16" fillId="0" borderId="93" xfId="17" applyFont="1" applyFill="1" applyBorder="1" applyAlignment="1">
      <alignment horizontal="left" vertical="center" wrapText="1"/>
    </xf>
    <xf numFmtId="0" fontId="16" fillId="6" borderId="26" xfId="17" applyFont="1" applyFill="1" applyBorder="1" applyAlignment="1">
      <alignment horizontal="left" vertical="center" wrapText="1"/>
    </xf>
    <xf numFmtId="0" fontId="16" fillId="6" borderId="28" xfId="17" applyFont="1" applyFill="1" applyBorder="1" applyAlignment="1">
      <alignment horizontal="left" vertical="center" wrapText="1"/>
    </xf>
    <xf numFmtId="0" fontId="16" fillId="6" borderId="32" xfId="17" applyFont="1" applyFill="1" applyBorder="1" applyAlignment="1">
      <alignment horizontal="left" vertical="center" wrapText="1"/>
    </xf>
    <xf numFmtId="0" fontId="16" fillId="7" borderId="24" xfId="17" applyFont="1" applyFill="1" applyBorder="1" applyAlignment="1">
      <alignment horizontal="left" vertical="center" wrapText="1"/>
    </xf>
    <xf numFmtId="0" fontId="16" fillId="7" borderId="0" xfId="17" applyFont="1" applyFill="1" applyBorder="1" applyAlignment="1">
      <alignment horizontal="left" vertical="center" wrapText="1"/>
    </xf>
    <xf numFmtId="0" fontId="16" fillId="7" borderId="22" xfId="17" applyFont="1" applyFill="1" applyBorder="1" applyAlignment="1">
      <alignment horizontal="left" vertical="center" wrapText="1"/>
    </xf>
    <xf numFmtId="0" fontId="27" fillId="0" borderId="0" xfId="29" applyFont="1" applyAlignment="1">
      <alignment vertical="top"/>
    </xf>
    <xf numFmtId="0" fontId="16" fillId="7" borderId="24" xfId="17" quotePrefix="1" applyFont="1" applyFill="1" applyBorder="1" applyAlignment="1">
      <alignment horizontal="left" vertical="top" wrapText="1"/>
    </xf>
    <xf numFmtId="0" fontId="16" fillId="7" borderId="0" xfId="17" applyFont="1" applyFill="1" applyBorder="1" applyAlignment="1">
      <alignment horizontal="left" vertical="top" wrapText="1"/>
    </xf>
    <xf numFmtId="0" fontId="16" fillId="7" borderId="22" xfId="17" applyFont="1" applyFill="1" applyBorder="1" applyAlignment="1">
      <alignment horizontal="left" vertical="top" wrapText="1"/>
    </xf>
    <xf numFmtId="0" fontId="16" fillId="0" borderId="26" xfId="17" quotePrefix="1" applyFont="1" applyFill="1" applyBorder="1" applyAlignment="1">
      <alignment horizontal="left" vertical="top" wrapText="1"/>
    </xf>
    <xf numFmtId="0" fontId="16" fillId="0" borderId="28" xfId="17" quotePrefix="1" applyFont="1" applyFill="1" applyBorder="1" applyAlignment="1">
      <alignment horizontal="left" vertical="top" wrapText="1"/>
    </xf>
    <xf numFmtId="0" fontId="16" fillId="0" borderId="32" xfId="17" quotePrefix="1" applyFont="1" applyFill="1" applyBorder="1" applyAlignment="1">
      <alignment horizontal="left" vertical="top" wrapText="1"/>
    </xf>
    <xf numFmtId="0" fontId="17" fillId="0" borderId="25" xfId="0" applyFont="1" applyBorder="1" applyAlignment="1">
      <alignment horizontal="center" vertical="center"/>
    </xf>
    <xf numFmtId="0" fontId="17" fillId="0" borderId="16" xfId="0" applyFont="1" applyBorder="1" applyAlignment="1">
      <alignment horizontal="center" vertical="center"/>
    </xf>
    <xf numFmtId="0" fontId="17" fillId="0" borderId="31" xfId="0" applyFont="1" applyBorder="1" applyAlignment="1">
      <alignment horizontal="center" vertical="center"/>
    </xf>
    <xf numFmtId="0" fontId="16" fillId="0" borderId="84" xfId="17" applyFont="1" applyFill="1" applyBorder="1" applyAlignment="1">
      <alignment horizontal="left" vertical="center"/>
    </xf>
    <xf numFmtId="0" fontId="16" fillId="0" borderId="85" xfId="17" applyFont="1" applyFill="1" applyBorder="1" applyAlignment="1">
      <alignment horizontal="left" vertical="center"/>
    </xf>
    <xf numFmtId="0" fontId="16" fillId="0" borderId="8" xfId="17" applyFont="1" applyFill="1" applyBorder="1" applyAlignment="1">
      <alignment horizontal="left" vertical="center" wrapText="1"/>
    </xf>
    <xf numFmtId="0" fontId="16" fillId="0" borderId="12" xfId="17" applyFont="1" applyFill="1" applyBorder="1" applyAlignment="1">
      <alignment horizontal="left" vertical="center" wrapText="1"/>
    </xf>
    <xf numFmtId="0" fontId="16" fillId="0" borderId="19" xfId="17" applyFont="1" applyFill="1" applyBorder="1" applyAlignment="1">
      <alignment horizontal="left" vertical="center" wrapText="1"/>
    </xf>
    <xf numFmtId="0" fontId="0" fillId="0" borderId="5"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19" xfId="0" applyBorder="1" applyAlignment="1">
      <alignment horizontal="left"/>
    </xf>
    <xf numFmtId="0" fontId="16" fillId="6" borderId="25" xfId="17" applyFont="1" applyFill="1" applyBorder="1" applyAlignment="1">
      <alignment horizontal="left" vertical="center"/>
    </xf>
    <xf numFmtId="0" fontId="16" fillId="6" borderId="16" xfId="17" applyFont="1" applyFill="1" applyBorder="1" applyAlignment="1">
      <alignment horizontal="left" vertical="center"/>
    </xf>
    <xf numFmtId="0" fontId="16" fillId="6" borderId="31" xfId="17" applyFont="1" applyFill="1" applyBorder="1" applyAlignment="1">
      <alignment horizontal="left" vertical="center"/>
    </xf>
    <xf numFmtId="0" fontId="16" fillId="6" borderId="24" xfId="17" applyFont="1" applyFill="1" applyBorder="1" applyAlignment="1">
      <alignment horizontal="left" vertical="center"/>
    </xf>
    <xf numFmtId="0" fontId="16" fillId="6" borderId="0" xfId="17" applyFont="1" applyFill="1" applyBorder="1" applyAlignment="1">
      <alignment horizontal="left" vertical="center"/>
    </xf>
    <xf numFmtId="0" fontId="16" fillId="6" borderId="22" xfId="17" applyFont="1" applyFill="1" applyBorder="1" applyAlignment="1">
      <alignment horizontal="left" vertical="center"/>
    </xf>
    <xf numFmtId="0" fontId="16" fillId="6" borderId="24" xfId="17" applyFont="1" applyFill="1" applyBorder="1" applyAlignment="1">
      <alignment horizontal="left" vertical="center" wrapText="1"/>
    </xf>
    <xf numFmtId="0" fontId="16" fillId="6" borderId="0" xfId="17" applyFont="1" applyFill="1" applyBorder="1" applyAlignment="1">
      <alignment horizontal="left" vertical="center" wrapText="1"/>
    </xf>
    <xf numFmtId="0" fontId="16" fillId="6" borderId="22" xfId="17" applyFont="1" applyFill="1" applyBorder="1" applyAlignment="1">
      <alignment horizontal="left" vertical="center" wrapText="1"/>
    </xf>
    <xf numFmtId="0" fontId="16" fillId="0" borderId="24" xfId="17" applyFont="1" applyFill="1" applyBorder="1" applyAlignment="1">
      <alignment horizontal="left" vertical="center"/>
    </xf>
    <xf numFmtId="0" fontId="16" fillId="0" borderId="0" xfId="17" applyFont="1" applyFill="1" applyBorder="1" applyAlignment="1">
      <alignment horizontal="left" vertical="center"/>
    </xf>
    <xf numFmtId="0" fontId="16" fillId="0" borderId="22" xfId="17" applyFont="1" applyFill="1" applyBorder="1" applyAlignment="1">
      <alignment horizontal="left" vertical="center"/>
    </xf>
    <xf numFmtId="0" fontId="19" fillId="6" borderId="26" xfId="0" applyFont="1" applyFill="1" applyBorder="1" applyAlignment="1">
      <alignment horizontal="left"/>
    </xf>
    <xf numFmtId="0" fontId="19" fillId="6" borderId="28" xfId="0" applyFont="1" applyFill="1" applyBorder="1" applyAlignment="1">
      <alignment horizontal="left"/>
    </xf>
    <xf numFmtId="0" fontId="19" fillId="6" borderId="32" xfId="0" applyFont="1" applyFill="1" applyBorder="1" applyAlignment="1">
      <alignment horizontal="left"/>
    </xf>
    <xf numFmtId="0" fontId="17" fillId="0" borderId="29" xfId="0" applyFont="1" applyBorder="1" applyAlignment="1">
      <alignment horizontal="center"/>
    </xf>
    <xf numFmtId="0" fontId="17" fillId="0" borderId="1" xfId="0" applyFont="1" applyBorder="1" applyAlignment="1">
      <alignment horizontal="center"/>
    </xf>
    <xf numFmtId="0" fontId="17" fillId="0" borderId="30" xfId="0" applyFont="1" applyBorder="1" applyAlignment="1">
      <alignment horizontal="center"/>
    </xf>
    <xf numFmtId="0" fontId="17" fillId="0" borderId="27" xfId="0" applyFont="1" applyBorder="1" applyAlignment="1">
      <alignment horizontal="center" vertical="center" textRotation="89"/>
    </xf>
    <xf numFmtId="0" fontId="17" fillId="0" borderId="15" xfId="0" applyFont="1" applyBorder="1" applyAlignment="1">
      <alignment horizontal="center" vertical="center" textRotation="89"/>
    </xf>
    <xf numFmtId="0" fontId="17" fillId="0" borderId="21" xfId="0" applyFont="1" applyBorder="1" applyAlignment="1">
      <alignment horizontal="center" vertical="center" textRotation="89"/>
    </xf>
    <xf numFmtId="0" fontId="19" fillId="6" borderId="25" xfId="0" applyFont="1" applyFill="1" applyBorder="1" applyAlignment="1">
      <alignment horizontal="left"/>
    </xf>
    <xf numFmtId="0" fontId="19" fillId="6" borderId="16" xfId="0" applyFont="1" applyFill="1" applyBorder="1" applyAlignment="1">
      <alignment horizontal="left"/>
    </xf>
    <xf numFmtId="0" fontId="19" fillId="6" borderId="31" xfId="0" applyFont="1" applyFill="1" applyBorder="1" applyAlignment="1">
      <alignment horizontal="left"/>
    </xf>
    <xf numFmtId="0" fontId="17" fillId="0" borderId="29" xfId="0" applyFont="1" applyBorder="1" applyAlignment="1">
      <alignment horizontal="left"/>
    </xf>
    <xf numFmtId="0" fontId="17" fillId="0" borderId="30" xfId="0" applyFont="1" applyBorder="1" applyAlignment="1">
      <alignment horizontal="left"/>
    </xf>
    <xf numFmtId="0" fontId="17" fillId="0" borderId="51" xfId="17" applyNumberFormat="1"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6" fillId="6" borderId="25" xfId="0" applyFont="1" applyFill="1" applyBorder="1" applyAlignment="1">
      <alignment horizontal="left"/>
    </xf>
    <xf numFmtId="0" fontId="16" fillId="6" borderId="16" xfId="0" applyFont="1" applyFill="1" applyBorder="1" applyAlignment="1">
      <alignment horizontal="left"/>
    </xf>
    <xf numFmtId="0" fontId="16" fillId="6" borderId="31" xfId="0" applyFont="1" applyFill="1" applyBorder="1" applyAlignment="1">
      <alignment horizontal="left"/>
    </xf>
    <xf numFmtId="0" fontId="16" fillId="6" borderId="24" xfId="17" applyFont="1" applyFill="1" applyBorder="1" applyAlignment="1">
      <alignment wrapText="1"/>
    </xf>
    <xf numFmtId="0" fontId="16" fillId="6" borderId="0" xfId="0" applyFont="1" applyFill="1" applyBorder="1" applyAlignment="1">
      <alignment wrapText="1"/>
    </xf>
    <xf numFmtId="0" fontId="16" fillId="6" borderId="22" xfId="0" applyFont="1" applyFill="1" applyBorder="1" applyAlignment="1">
      <alignment wrapText="1"/>
    </xf>
    <xf numFmtId="0" fontId="16" fillId="6" borderId="24" xfId="17" applyFont="1" applyFill="1" applyBorder="1" applyAlignment="1">
      <alignment horizontal="left" wrapText="1"/>
    </xf>
    <xf numFmtId="0" fontId="16" fillId="6" borderId="0" xfId="17" applyFont="1" applyFill="1" applyBorder="1" applyAlignment="1">
      <alignment horizontal="left" wrapText="1"/>
    </xf>
    <xf numFmtId="0" fontId="16" fillId="6" borderId="22" xfId="17" applyFont="1" applyFill="1" applyBorder="1" applyAlignment="1">
      <alignment horizontal="left" wrapText="1"/>
    </xf>
    <xf numFmtId="0" fontId="17" fillId="0" borderId="29" xfId="17" applyNumberFormat="1" applyFont="1" applyFill="1" applyBorder="1" applyAlignment="1">
      <alignment horizontal="center" vertical="center" wrapText="1"/>
    </xf>
    <xf numFmtId="0" fontId="17" fillId="0" borderId="1" xfId="17" applyNumberFormat="1" applyFont="1" applyFill="1" applyBorder="1" applyAlignment="1">
      <alignment horizontal="center" vertical="center" wrapText="1"/>
    </xf>
    <xf numFmtId="0" fontId="17" fillId="0" borderId="30" xfId="17" applyNumberFormat="1" applyFont="1" applyFill="1" applyBorder="1" applyAlignment="1">
      <alignment horizontal="center" vertical="center" wrapText="1"/>
    </xf>
    <xf numFmtId="10" fontId="19" fillId="0" borderId="7" xfId="18" applyFont="1" applyFill="1" applyBorder="1" applyAlignment="1">
      <alignment horizontal="center" wrapText="1"/>
    </xf>
    <xf numFmtId="10" fontId="19" fillId="0" borderId="13" xfId="18" applyFont="1" applyFill="1" applyBorder="1" applyAlignment="1">
      <alignment horizontal="center" wrapText="1"/>
    </xf>
    <xf numFmtId="10" fontId="19" fillId="0" borderId="59" xfId="18" applyFont="1" applyFill="1" applyBorder="1" applyAlignment="1">
      <alignment horizontal="center" wrapText="1"/>
    </xf>
    <xf numFmtId="10" fontId="19" fillId="0" borderId="101" xfId="18" applyFont="1" applyFill="1" applyBorder="1" applyAlignment="1">
      <alignment horizontal="center" wrapText="1"/>
    </xf>
    <xf numFmtId="10" fontId="19" fillId="0" borderId="28" xfId="18" applyFont="1" applyFill="1" applyBorder="1" applyAlignment="1">
      <alignment horizontal="center" wrapText="1"/>
    </xf>
    <xf numFmtId="10" fontId="19" fillId="0" borderId="32" xfId="18" applyFont="1" applyFill="1" applyBorder="1" applyAlignment="1">
      <alignment horizontal="center" wrapText="1"/>
    </xf>
    <xf numFmtId="0" fontId="16" fillId="6" borderId="26" xfId="17" applyFont="1" applyFill="1" applyBorder="1" applyAlignment="1">
      <alignment horizontal="left" vertical="top" wrapText="1"/>
    </xf>
    <xf numFmtId="0" fontId="16" fillId="6" borderId="28" xfId="17" applyFont="1" applyFill="1" applyBorder="1" applyAlignment="1">
      <alignment horizontal="left" vertical="top" wrapText="1"/>
    </xf>
    <xf numFmtId="0" fontId="16" fillId="6" borderId="32" xfId="17" applyFont="1" applyFill="1" applyBorder="1" applyAlignment="1">
      <alignment horizontal="left" vertical="top" wrapText="1"/>
    </xf>
    <xf numFmtId="0" fontId="19" fillId="0" borderId="24" xfId="17" applyFont="1" applyFill="1" applyBorder="1" applyAlignment="1">
      <alignment horizontal="left" wrapText="1"/>
    </xf>
    <xf numFmtId="0" fontId="19" fillId="0" borderId="0" xfId="17" applyFont="1" applyFill="1" applyBorder="1" applyAlignment="1">
      <alignment horizontal="left" wrapText="1"/>
    </xf>
    <xf numFmtId="0" fontId="19" fillId="0" borderId="24" xfId="0" applyFont="1" applyFill="1" applyBorder="1" applyAlignment="1">
      <alignment horizontal="left"/>
    </xf>
    <xf numFmtId="0" fontId="19" fillId="0" borderId="0" xfId="0" applyFont="1" applyFill="1" applyBorder="1" applyAlignment="1">
      <alignment horizontal="left"/>
    </xf>
    <xf numFmtId="0" fontId="19" fillId="0" borderId="6" xfId="0" applyFont="1" applyFill="1" applyBorder="1" applyAlignment="1">
      <alignment horizontal="left"/>
    </xf>
    <xf numFmtId="0" fontId="19" fillId="0" borderId="92" xfId="0" applyFont="1" applyFill="1" applyBorder="1" applyAlignment="1">
      <alignment horizontal="center"/>
    </xf>
    <xf numFmtId="0" fontId="19" fillId="0" borderId="48" xfId="0" applyFont="1" applyFill="1" applyBorder="1" applyAlignment="1">
      <alignment horizontal="center"/>
    </xf>
    <xf numFmtId="0" fontId="19" fillId="0" borderId="93" xfId="0" applyFont="1" applyFill="1" applyBorder="1" applyAlignment="1">
      <alignment horizontal="center"/>
    </xf>
    <xf numFmtId="37" fontId="19" fillId="0" borderId="0" xfId="1" applyNumberFormat="1" applyFont="1" applyFill="1" applyBorder="1" applyAlignment="1">
      <alignment horizontal="center" wrapText="1"/>
    </xf>
    <xf numFmtId="37" fontId="19" fillId="0" borderId="22" xfId="1" applyNumberFormat="1" applyFont="1" applyFill="1" applyBorder="1" applyAlignment="1">
      <alignment horizontal="center" wrapText="1"/>
    </xf>
    <xf numFmtId="0" fontId="17" fillId="0" borderId="25" xfId="17" applyNumberFormat="1" applyFont="1" applyFill="1" applyBorder="1" applyAlignment="1">
      <alignment horizontal="center" vertical="center" wrapText="1"/>
    </xf>
    <xf numFmtId="0" fontId="17" fillId="0" borderId="16" xfId="17" applyNumberFormat="1" applyFont="1" applyFill="1" applyBorder="1" applyAlignment="1">
      <alignment horizontal="center" vertical="center" wrapText="1"/>
    </xf>
    <xf numFmtId="0" fontId="17" fillId="0" borderId="31" xfId="17" applyNumberFormat="1" applyFont="1" applyFill="1" applyBorder="1" applyAlignment="1">
      <alignment horizontal="center" vertical="center" wrapText="1"/>
    </xf>
    <xf numFmtId="0" fontId="16" fillId="6" borderId="25" xfId="17" applyFont="1" applyFill="1" applyBorder="1" applyAlignment="1">
      <alignment horizontal="left" vertical="center" wrapText="1"/>
    </xf>
    <xf numFmtId="0" fontId="16" fillId="6" borderId="16" xfId="17" applyFont="1" applyFill="1" applyBorder="1" applyAlignment="1">
      <alignment horizontal="left" vertical="center" wrapText="1"/>
    </xf>
    <xf numFmtId="0" fontId="16" fillId="6" borderId="31" xfId="17" applyFont="1" applyFill="1" applyBorder="1" applyAlignment="1">
      <alignment horizontal="left" vertical="center" wrapText="1"/>
    </xf>
    <xf numFmtId="0" fontId="17" fillId="0" borderId="51" xfId="0" applyFont="1" applyBorder="1" applyAlignment="1">
      <alignment horizontal="center"/>
    </xf>
    <xf numFmtId="0" fontId="17" fillId="0" borderId="52" xfId="0" applyFont="1" applyBorder="1" applyAlignment="1">
      <alignment horizontal="center"/>
    </xf>
    <xf numFmtId="0" fontId="17" fillId="0" borderId="53" xfId="0" applyFont="1" applyBorder="1" applyAlignment="1">
      <alignment horizontal="center"/>
    </xf>
    <xf numFmtId="0" fontId="16" fillId="0" borderId="25" xfId="17" applyFont="1" applyFill="1" applyBorder="1" applyAlignment="1">
      <alignment horizontal="left" vertical="center"/>
    </xf>
    <xf numFmtId="0" fontId="16" fillId="0" borderId="16" xfId="17" applyFont="1" applyFill="1" applyBorder="1" applyAlignment="1">
      <alignment horizontal="left" vertical="center"/>
    </xf>
    <xf numFmtId="0" fontId="16" fillId="0" borderId="31" xfId="17" applyFont="1" applyFill="1" applyBorder="1" applyAlignment="1">
      <alignment horizontal="left" vertical="center"/>
    </xf>
    <xf numFmtId="0" fontId="16" fillId="6" borderId="92" xfId="0" applyFont="1" applyFill="1" applyBorder="1" applyAlignment="1">
      <alignment horizontal="left" wrapText="1"/>
    </xf>
    <xf numFmtId="0" fontId="16" fillId="6" borderId="48" xfId="0" applyFont="1" applyFill="1" applyBorder="1" applyAlignment="1">
      <alignment horizontal="left" wrapText="1"/>
    </xf>
    <xf numFmtId="0" fontId="16" fillId="6" borderId="93" xfId="0" applyFont="1" applyFill="1" applyBorder="1" applyAlignment="1">
      <alignment horizontal="left" wrapText="1"/>
    </xf>
    <xf numFmtId="0" fontId="16" fillId="6" borderId="24" xfId="0" applyFont="1" applyFill="1" applyBorder="1" applyAlignment="1">
      <alignment horizontal="left" vertical="top" wrapText="1"/>
    </xf>
    <xf numFmtId="0" fontId="16" fillId="6" borderId="0" xfId="0" applyFont="1" applyFill="1" applyBorder="1" applyAlignment="1">
      <alignment horizontal="left" vertical="top" wrapText="1"/>
    </xf>
    <xf numFmtId="0" fontId="16" fillId="6" borderId="22" xfId="0" applyFont="1" applyFill="1" applyBorder="1" applyAlignment="1">
      <alignment horizontal="left" vertical="top" wrapText="1"/>
    </xf>
    <xf numFmtId="0" fontId="16" fillId="6" borderId="26" xfId="0" applyFont="1" applyFill="1" applyBorder="1" applyAlignment="1">
      <alignment horizontal="left" vertical="top" wrapText="1"/>
    </xf>
    <xf numFmtId="0" fontId="16" fillId="6" borderId="28" xfId="0" applyFont="1" applyFill="1" applyBorder="1" applyAlignment="1">
      <alignment horizontal="left" vertical="top" wrapText="1"/>
    </xf>
    <xf numFmtId="0" fontId="16" fillId="6" borderId="32" xfId="0" applyFont="1" applyFill="1" applyBorder="1" applyAlignment="1">
      <alignment horizontal="left" vertical="top" wrapText="1"/>
    </xf>
    <xf numFmtId="0" fontId="19" fillId="0" borderId="43" xfId="0" applyFont="1" applyBorder="1" applyAlignment="1">
      <alignment horizontal="center"/>
    </xf>
    <xf numFmtId="0" fontId="19" fillId="0" borderId="44" xfId="0" applyFont="1" applyBorder="1" applyAlignment="1">
      <alignment horizontal="center"/>
    </xf>
    <xf numFmtId="0" fontId="19" fillId="0" borderId="42" xfId="0" applyFont="1" applyBorder="1" applyAlignment="1">
      <alignment horizontal="center"/>
    </xf>
    <xf numFmtId="0" fontId="19" fillId="0" borderId="29" xfId="0" applyFont="1" applyBorder="1" applyAlignment="1">
      <alignment horizontal="center"/>
    </xf>
    <xf numFmtId="0" fontId="19" fillId="0" borderId="1" xfId="0" applyFont="1" applyBorder="1" applyAlignment="1">
      <alignment horizontal="center"/>
    </xf>
    <xf numFmtId="0" fontId="19" fillId="0" borderId="30" xfId="0" applyFont="1" applyBorder="1" applyAlignment="1">
      <alignment horizontal="center"/>
    </xf>
    <xf numFmtId="173" fontId="19" fillId="0" borderId="29" xfId="0" applyNumberFormat="1" applyFont="1" applyBorder="1" applyAlignment="1">
      <alignment horizontal="center"/>
    </xf>
    <xf numFmtId="173" fontId="19" fillId="0" borderId="1" xfId="0" applyNumberFormat="1" applyFont="1" applyBorder="1" applyAlignment="1">
      <alignment horizontal="center"/>
    </xf>
    <xf numFmtId="173" fontId="19" fillId="0" borderId="30" xfId="0" applyNumberFormat="1" applyFont="1" applyBorder="1" applyAlignment="1">
      <alignment horizontal="center"/>
    </xf>
    <xf numFmtId="0" fontId="16" fillId="6" borderId="24" xfId="0" applyFont="1" applyFill="1" applyBorder="1" applyAlignment="1">
      <alignment horizontal="left" vertical="center" wrapText="1"/>
    </xf>
    <xf numFmtId="0" fontId="16" fillId="6" borderId="0" xfId="0" applyFont="1" applyFill="1" applyBorder="1" applyAlignment="1">
      <alignment horizontal="left" vertical="center" wrapText="1"/>
    </xf>
    <xf numFmtId="0" fontId="16" fillId="6" borderId="22" xfId="0" applyFont="1" applyFill="1" applyBorder="1" applyAlignment="1">
      <alignment horizontal="left" vertical="center" wrapText="1"/>
    </xf>
    <xf numFmtId="0" fontId="19" fillId="6" borderId="1" xfId="0" applyFont="1" applyFill="1" applyBorder="1" applyAlignment="1">
      <alignment horizontal="center" vertical="center"/>
    </xf>
    <xf numFmtId="0" fontId="19" fillId="6" borderId="30" xfId="0" applyFont="1" applyFill="1" applyBorder="1" applyAlignment="1">
      <alignment horizontal="center" vertical="center"/>
    </xf>
    <xf numFmtId="0" fontId="16" fillId="6" borderId="24" xfId="0" applyFont="1" applyFill="1" applyBorder="1" applyAlignment="1">
      <alignment horizontal="left" vertical="center"/>
    </xf>
    <xf numFmtId="0" fontId="16" fillId="6" borderId="0" xfId="0" applyFont="1" applyFill="1" applyBorder="1" applyAlignment="1">
      <alignment horizontal="left" vertical="center"/>
    </xf>
    <xf numFmtId="0" fontId="16" fillId="6" borderId="22" xfId="0" applyFont="1" applyFill="1" applyBorder="1" applyAlignment="1">
      <alignment horizontal="left" vertical="center"/>
    </xf>
    <xf numFmtId="0" fontId="16" fillId="6" borderId="61" xfId="0" applyFont="1" applyFill="1" applyBorder="1" applyAlignment="1">
      <alignment horizontal="left" vertical="center"/>
    </xf>
    <xf numFmtId="0" fontId="16" fillId="6" borderId="50" xfId="0" applyFont="1" applyFill="1" applyBorder="1" applyAlignment="1">
      <alignment horizontal="left" vertical="center"/>
    </xf>
    <xf numFmtId="0" fontId="16" fillId="6" borderId="62" xfId="0" applyFont="1" applyFill="1" applyBorder="1" applyAlignment="1">
      <alignment horizontal="left" vertical="center"/>
    </xf>
    <xf numFmtId="0" fontId="16" fillId="6" borderId="26" xfId="0" applyFont="1" applyFill="1" applyBorder="1" applyAlignment="1">
      <alignment horizontal="left" vertical="center" wrapText="1"/>
    </xf>
    <xf numFmtId="0" fontId="16" fillId="6" borderId="28" xfId="0" applyFont="1" applyFill="1" applyBorder="1" applyAlignment="1">
      <alignment horizontal="left" vertical="center" wrapText="1"/>
    </xf>
    <xf numFmtId="0" fontId="16" fillId="6" borderId="32" xfId="0" applyFont="1" applyFill="1" applyBorder="1" applyAlignment="1">
      <alignment horizontal="left" vertical="center" wrapText="1"/>
    </xf>
    <xf numFmtId="5" fontId="17" fillId="0" borderId="29" xfId="4" applyFont="1" applyFill="1" applyBorder="1" applyAlignment="1">
      <alignment horizontal="center" vertical="center"/>
    </xf>
    <xf numFmtId="5" fontId="17" fillId="0" borderId="1" xfId="4" applyFont="1" applyFill="1" applyBorder="1" applyAlignment="1">
      <alignment horizontal="center" vertical="center"/>
    </xf>
    <xf numFmtId="5" fontId="17" fillId="0" borderId="30" xfId="4" applyFont="1" applyFill="1" applyBorder="1" applyAlignment="1">
      <alignment horizontal="center" vertical="center"/>
    </xf>
    <xf numFmtId="5" fontId="17" fillId="0" borderId="29" xfId="4" applyFont="1" applyFill="1" applyBorder="1" applyAlignment="1">
      <alignment horizontal="center" vertical="center" wrapText="1"/>
    </xf>
    <xf numFmtId="5" fontId="17" fillId="0" borderId="30" xfId="4" applyFont="1" applyFill="1" applyBorder="1" applyAlignment="1">
      <alignment horizontal="center" vertical="center" wrapText="1"/>
    </xf>
    <xf numFmtId="165" fontId="19" fillId="0" borderId="25" xfId="1" applyNumberFormat="1" applyFont="1" applyFill="1" applyBorder="1" applyAlignment="1">
      <alignment horizontal="center" vertical="center"/>
    </xf>
    <xf numFmtId="165" fontId="19" fillId="0" borderId="31" xfId="1" applyNumberFormat="1" applyFont="1" applyFill="1" applyBorder="1" applyAlignment="1">
      <alignment horizontal="center" vertical="center"/>
    </xf>
    <xf numFmtId="165" fontId="19" fillId="0" borderId="24" xfId="1" applyNumberFormat="1" applyFont="1" applyFill="1" applyBorder="1" applyAlignment="1">
      <alignment horizontal="center" vertical="center"/>
    </xf>
    <xf numFmtId="165" fontId="19" fillId="0" borderId="22" xfId="1" applyNumberFormat="1" applyFont="1" applyFill="1" applyBorder="1" applyAlignment="1">
      <alignment horizontal="center" vertical="center"/>
    </xf>
    <xf numFmtId="0" fontId="19" fillId="0" borderId="27" xfId="0" applyFont="1" applyBorder="1" applyAlignment="1">
      <alignment horizontal="center" vertical="center" textRotation="90"/>
    </xf>
    <xf numFmtId="0" fontId="19" fillId="0" borderId="15" xfId="0" applyFont="1" applyBorder="1" applyAlignment="1">
      <alignment horizontal="center" vertical="center" textRotation="90"/>
    </xf>
    <xf numFmtId="0" fontId="19" fillId="0" borderId="21" xfId="0" applyFont="1" applyBorder="1" applyAlignment="1">
      <alignment horizontal="center" vertical="center" textRotation="90"/>
    </xf>
    <xf numFmtId="165" fontId="19" fillId="0" borderId="26" xfId="1" applyNumberFormat="1" applyFont="1" applyFill="1" applyBorder="1" applyAlignment="1">
      <alignment horizontal="center" vertical="center"/>
    </xf>
    <xf numFmtId="165" fontId="19" fillId="0" borderId="32" xfId="1" applyNumberFormat="1" applyFont="1" applyFill="1" applyBorder="1" applyAlignment="1">
      <alignment horizontal="center" vertical="center"/>
    </xf>
    <xf numFmtId="165" fontId="19" fillId="0" borderId="29" xfId="1" applyNumberFormat="1" applyFont="1" applyFill="1" applyBorder="1" applyAlignment="1">
      <alignment horizontal="center" vertical="center"/>
    </xf>
    <xf numFmtId="165" fontId="19" fillId="0" borderId="30" xfId="1" applyNumberFormat="1" applyFont="1" applyFill="1" applyBorder="1" applyAlignment="1">
      <alignment horizontal="center" vertical="center"/>
    </xf>
    <xf numFmtId="0" fontId="19" fillId="0" borderId="52" xfId="0" applyFont="1" applyBorder="1" applyAlignment="1">
      <alignment horizontal="center" vertical="center" wrapText="1"/>
    </xf>
    <xf numFmtId="0" fontId="19" fillId="0" borderId="53" xfId="0" applyFont="1" applyBorder="1" applyAlignment="1">
      <alignment horizontal="center" vertical="center" wrapText="1"/>
    </xf>
    <xf numFmtId="0" fontId="16" fillId="6" borderId="24" xfId="0" applyFont="1" applyFill="1" applyBorder="1" applyAlignment="1">
      <alignment horizontal="left" wrapText="1"/>
    </xf>
    <xf numFmtId="0" fontId="16" fillId="6" borderId="0" xfId="0" applyFont="1" applyFill="1" applyBorder="1" applyAlignment="1">
      <alignment horizontal="left" wrapText="1"/>
    </xf>
    <xf numFmtId="0" fontId="16" fillId="6" borderId="22" xfId="0" applyFont="1" applyFill="1" applyBorder="1" applyAlignment="1">
      <alignment horizontal="left" wrapText="1"/>
    </xf>
    <xf numFmtId="0" fontId="16" fillId="6" borderId="24" xfId="0" applyFont="1" applyFill="1" applyBorder="1" applyAlignment="1">
      <alignment horizontal="left" vertical="top"/>
    </xf>
    <xf numFmtId="0" fontId="16" fillId="6" borderId="0" xfId="0" applyFont="1" applyFill="1" applyBorder="1" applyAlignment="1">
      <alignment horizontal="left" vertical="top"/>
    </xf>
    <xf numFmtId="0" fontId="16" fillId="6" borderId="22" xfId="0" applyFont="1" applyFill="1" applyBorder="1" applyAlignment="1">
      <alignment horizontal="left" vertical="top"/>
    </xf>
    <xf numFmtId="0" fontId="16" fillId="6" borderId="24" xfId="17" applyFont="1" applyFill="1" applyBorder="1" applyAlignment="1">
      <alignment horizontal="left" vertical="top" wrapText="1"/>
    </xf>
    <xf numFmtId="0" fontId="16" fillId="6" borderId="0" xfId="17" applyFont="1" applyFill="1" applyBorder="1" applyAlignment="1">
      <alignment horizontal="left" vertical="top" wrapText="1"/>
    </xf>
    <xf numFmtId="0" fontId="16" fillId="6" borderId="22" xfId="17" applyFont="1" applyFill="1" applyBorder="1" applyAlignment="1">
      <alignment horizontal="left" vertical="top" wrapText="1"/>
    </xf>
    <xf numFmtId="0" fontId="16" fillId="6" borderId="24" xfId="17" applyFont="1" applyFill="1" applyBorder="1" applyAlignment="1">
      <alignment vertical="top" wrapText="1"/>
    </xf>
    <xf numFmtId="0" fontId="16" fillId="6" borderId="0" xfId="0" applyFont="1" applyFill="1" applyBorder="1" applyAlignment="1">
      <alignment vertical="top" wrapText="1"/>
    </xf>
    <xf numFmtId="0" fontId="16" fillId="6" borderId="22" xfId="0" applyFont="1" applyFill="1" applyBorder="1" applyAlignment="1">
      <alignment vertical="top" wrapText="1"/>
    </xf>
    <xf numFmtId="0" fontId="16" fillId="0" borderId="0" xfId="0" applyFont="1" applyBorder="1" applyAlignment="1">
      <alignment horizontal="left"/>
    </xf>
    <xf numFmtId="0" fontId="31" fillId="0" borderId="28" xfId="30" applyFont="1" applyBorder="1" applyAlignment="1">
      <alignment horizontal="center" vertical="center"/>
    </xf>
    <xf numFmtId="0" fontId="31" fillId="6" borderId="29" xfId="30" applyFont="1" applyFill="1" applyBorder="1" applyAlignment="1">
      <alignment horizontal="center" vertical="center"/>
    </xf>
    <xf numFmtId="0" fontId="31" fillId="6" borderId="30" xfId="30" applyFont="1" applyFill="1" applyBorder="1" applyAlignment="1">
      <alignment horizontal="center" vertical="center"/>
    </xf>
    <xf numFmtId="0" fontId="31" fillId="0" borderId="27" xfId="30" applyFont="1" applyBorder="1" applyAlignment="1">
      <alignment horizontal="center" vertical="center" wrapText="1"/>
    </xf>
    <xf numFmtId="0" fontId="31" fillId="0" borderId="15" xfId="30" applyFont="1" applyBorder="1" applyAlignment="1">
      <alignment horizontal="center" vertical="center" wrapText="1"/>
    </xf>
    <xf numFmtId="0" fontId="31" fillId="0" borderId="21" xfId="30" applyFont="1" applyBorder="1" applyAlignment="1">
      <alignment horizontal="center" vertical="center" wrapText="1"/>
    </xf>
    <xf numFmtId="0" fontId="31" fillId="0" borderId="70" xfId="30" applyFont="1" applyBorder="1" applyAlignment="1">
      <alignment horizontal="center" vertical="center" wrapText="1"/>
    </xf>
    <xf numFmtId="0" fontId="31" fillId="0" borderId="64" xfId="30" applyFont="1" applyBorder="1" applyAlignment="1">
      <alignment horizontal="center" vertical="center" wrapText="1"/>
    </xf>
    <xf numFmtId="0" fontId="31" fillId="0" borderId="66" xfId="30" applyFont="1" applyBorder="1" applyAlignment="1">
      <alignment horizontal="center" vertical="center" wrapText="1"/>
    </xf>
    <xf numFmtId="0" fontId="31" fillId="0" borderId="56" xfId="30" applyFont="1" applyBorder="1" applyAlignment="1">
      <alignment horizontal="left" vertical="center" wrapText="1"/>
    </xf>
    <xf numFmtId="0" fontId="31" fillId="0" borderId="57" xfId="30" applyFont="1" applyBorder="1" applyAlignment="1">
      <alignment horizontal="left" vertical="center" wrapText="1"/>
    </xf>
    <xf numFmtId="0" fontId="31" fillId="0" borderId="108" xfId="30" applyFont="1" applyBorder="1" applyAlignment="1">
      <alignment horizontal="left" vertical="center" wrapText="1"/>
    </xf>
    <xf numFmtId="0" fontId="31" fillId="0" borderId="109" xfId="30" applyFont="1" applyBorder="1" applyAlignment="1">
      <alignment horizontal="left" vertical="center" wrapText="1"/>
    </xf>
    <xf numFmtId="0" fontId="24" fillId="0" borderId="54" xfId="30" applyFont="1" applyBorder="1" applyAlignment="1">
      <alignment horizontal="left" vertical="center" wrapText="1"/>
    </xf>
    <xf numFmtId="0" fontId="24" fillId="0" borderId="55" xfId="30" applyFont="1" applyBorder="1" applyAlignment="1">
      <alignment horizontal="left" vertical="center" wrapText="1"/>
    </xf>
    <xf numFmtId="0" fontId="24" fillId="0" borderId="110" xfId="30" applyFont="1" applyBorder="1" applyAlignment="1">
      <alignment horizontal="left" vertical="center" wrapText="1"/>
    </xf>
    <xf numFmtId="0" fontId="24" fillId="0" borderId="111" xfId="30" applyFont="1" applyBorder="1" applyAlignment="1">
      <alignment horizontal="left" vertical="center" wrapText="1"/>
    </xf>
    <xf numFmtId="0" fontId="31" fillId="0" borderId="16" xfId="30" applyFont="1" applyBorder="1" applyAlignment="1">
      <alignment horizontal="left" vertical="center" wrapText="1"/>
    </xf>
    <xf numFmtId="0" fontId="24" fillId="0" borderId="0" xfId="30" applyFont="1" applyBorder="1" applyAlignment="1">
      <alignment horizontal="left" vertical="center" wrapText="1"/>
    </xf>
    <xf numFmtId="0" fontId="24" fillId="0" borderId="0" xfId="30" applyFont="1" applyFill="1" applyBorder="1" applyAlignment="1">
      <alignment horizontal="left" vertical="center" wrapText="1"/>
    </xf>
    <xf numFmtId="0" fontId="31" fillId="0" borderId="54" xfId="30" applyFont="1" applyBorder="1" applyAlignment="1">
      <alignment horizontal="left" vertical="center" wrapText="1"/>
    </xf>
    <xf numFmtId="0" fontId="31" fillId="0" borderId="55" xfId="30" applyFont="1" applyBorder="1" applyAlignment="1">
      <alignment horizontal="left" vertical="center" wrapText="1"/>
    </xf>
    <xf numFmtId="0" fontId="31" fillId="0" borderId="38" xfId="30" applyFont="1" applyBorder="1" applyAlignment="1">
      <alignment horizontal="center" vertical="center" wrapText="1"/>
    </xf>
    <xf numFmtId="0" fontId="31" fillId="0" borderId="110" xfId="30" applyFont="1" applyBorder="1" applyAlignment="1">
      <alignment horizontal="left" vertical="center" wrapText="1"/>
    </xf>
    <xf numFmtId="0" fontId="31" fillId="0" borderId="111" xfId="30" applyFont="1" applyBorder="1" applyAlignment="1">
      <alignment horizontal="left" vertical="center" wrapText="1"/>
    </xf>
    <xf numFmtId="37" fontId="34" fillId="0" borderId="0" xfId="1" applyNumberFormat="1" applyFont="1" applyFill="1" applyBorder="1" applyAlignment="1">
      <alignment horizontal="center" vertical="center"/>
    </xf>
    <xf numFmtId="41" fontId="34" fillId="0" borderId="0" xfId="1" applyNumberFormat="1" applyFont="1" applyFill="1" applyBorder="1" applyAlignment="1">
      <alignment horizontal="center" vertical="center"/>
    </xf>
    <xf numFmtId="37" fontId="34" fillId="0" borderId="86" xfId="1" applyNumberFormat="1" applyFont="1" applyFill="1" applyBorder="1" applyAlignment="1">
      <alignment horizontal="center" vertical="center"/>
    </xf>
    <xf numFmtId="41" fontId="34" fillId="0" borderId="86" xfId="1" applyNumberFormat="1" applyFont="1" applyFill="1" applyBorder="1" applyAlignment="1">
      <alignment horizontal="center" vertical="center"/>
    </xf>
    <xf numFmtId="0" fontId="16" fillId="6" borderId="90" xfId="17" applyFont="1" applyFill="1" applyBorder="1" applyAlignment="1">
      <alignment horizontal="left" vertical="center" wrapText="1"/>
    </xf>
    <xf numFmtId="0" fontId="16" fillId="6" borderId="49" xfId="17" applyFont="1" applyFill="1" applyBorder="1" applyAlignment="1">
      <alignment horizontal="left" vertical="center" wrapText="1"/>
    </xf>
    <xf numFmtId="0" fontId="16" fillId="6" borderId="91" xfId="17" applyFont="1" applyFill="1" applyBorder="1" applyAlignment="1">
      <alignment horizontal="left" vertical="center" wrapText="1"/>
    </xf>
    <xf numFmtId="0" fontId="16" fillId="0" borderId="90" xfId="17" applyFont="1" applyFill="1" applyBorder="1" applyAlignment="1">
      <alignment horizontal="left" vertical="center"/>
    </xf>
    <xf numFmtId="0" fontId="16" fillId="0" borderId="49" xfId="17" applyFont="1" applyFill="1" applyBorder="1" applyAlignment="1">
      <alignment horizontal="left" vertical="center"/>
    </xf>
    <xf numFmtId="0" fontId="16" fillId="0" borderId="91" xfId="17" applyFont="1" applyFill="1" applyBorder="1" applyAlignment="1">
      <alignment horizontal="left" vertical="center"/>
    </xf>
    <xf numFmtId="37" fontId="17" fillId="0" borderId="0" xfId="1" applyNumberFormat="1" applyFont="1" applyFill="1" applyBorder="1" applyAlignment="1">
      <alignment horizontal="center" vertical="center"/>
    </xf>
  </cellXfs>
  <cellStyles count="12028">
    <cellStyle name="20% - Accent1" xfId="110" builtinId="30" customBuiltin="1"/>
    <cellStyle name="20% - Accent1 10" xfId="218" xr:uid="{00000000-0005-0000-0000-000001000000}"/>
    <cellStyle name="20% - Accent1 11" xfId="219" xr:uid="{00000000-0005-0000-0000-000002000000}"/>
    <cellStyle name="20% - Accent1 12" xfId="220" xr:uid="{00000000-0005-0000-0000-000003000000}"/>
    <cellStyle name="20% - Accent1 13" xfId="221" xr:uid="{00000000-0005-0000-0000-000004000000}"/>
    <cellStyle name="20% - Accent1 14" xfId="222" xr:uid="{00000000-0005-0000-0000-000005000000}"/>
    <cellStyle name="20% - Accent1 15" xfId="223" xr:uid="{00000000-0005-0000-0000-000006000000}"/>
    <cellStyle name="20% - Accent1 16" xfId="224" xr:uid="{00000000-0005-0000-0000-000007000000}"/>
    <cellStyle name="20% - Accent1 17" xfId="225" xr:uid="{00000000-0005-0000-0000-000008000000}"/>
    <cellStyle name="20% - Accent1 18" xfId="226" xr:uid="{00000000-0005-0000-0000-000009000000}"/>
    <cellStyle name="20% - Accent1 19" xfId="227" xr:uid="{00000000-0005-0000-0000-00000A000000}"/>
    <cellStyle name="20% - Accent1 2" xfId="147" xr:uid="{00000000-0005-0000-0000-00000B000000}"/>
    <cellStyle name="20% - Accent1 3" xfId="228" xr:uid="{00000000-0005-0000-0000-00000C000000}"/>
    <cellStyle name="20% - Accent1 4" xfId="229" xr:uid="{00000000-0005-0000-0000-00000D000000}"/>
    <cellStyle name="20% - Accent1 5" xfId="230" xr:uid="{00000000-0005-0000-0000-00000E000000}"/>
    <cellStyle name="20% - Accent1 6" xfId="231" xr:uid="{00000000-0005-0000-0000-00000F000000}"/>
    <cellStyle name="20% - Accent1 7" xfId="232" xr:uid="{00000000-0005-0000-0000-000010000000}"/>
    <cellStyle name="20% - Accent1 8" xfId="233" xr:uid="{00000000-0005-0000-0000-000011000000}"/>
    <cellStyle name="20% - Accent1 9" xfId="234" xr:uid="{00000000-0005-0000-0000-000012000000}"/>
    <cellStyle name="20% - Accent2" xfId="114" builtinId="34" customBuiltin="1"/>
    <cellStyle name="20% - Accent2 10" xfId="235" xr:uid="{00000000-0005-0000-0000-000014000000}"/>
    <cellStyle name="20% - Accent2 11" xfId="236" xr:uid="{00000000-0005-0000-0000-000015000000}"/>
    <cellStyle name="20% - Accent2 12" xfId="237" xr:uid="{00000000-0005-0000-0000-000016000000}"/>
    <cellStyle name="20% - Accent2 13" xfId="238" xr:uid="{00000000-0005-0000-0000-000017000000}"/>
    <cellStyle name="20% - Accent2 14" xfId="239" xr:uid="{00000000-0005-0000-0000-000018000000}"/>
    <cellStyle name="20% - Accent2 15" xfId="240" xr:uid="{00000000-0005-0000-0000-000019000000}"/>
    <cellStyle name="20% - Accent2 16" xfId="241" xr:uid="{00000000-0005-0000-0000-00001A000000}"/>
    <cellStyle name="20% - Accent2 17" xfId="242" xr:uid="{00000000-0005-0000-0000-00001B000000}"/>
    <cellStyle name="20% - Accent2 18" xfId="243" xr:uid="{00000000-0005-0000-0000-00001C000000}"/>
    <cellStyle name="20% - Accent2 19" xfId="244" xr:uid="{00000000-0005-0000-0000-00001D000000}"/>
    <cellStyle name="20% - Accent2 2" xfId="148" xr:uid="{00000000-0005-0000-0000-00001E000000}"/>
    <cellStyle name="20% - Accent2 3" xfId="245" xr:uid="{00000000-0005-0000-0000-00001F000000}"/>
    <cellStyle name="20% - Accent2 4" xfId="246" xr:uid="{00000000-0005-0000-0000-000020000000}"/>
    <cellStyle name="20% - Accent2 5" xfId="247" xr:uid="{00000000-0005-0000-0000-000021000000}"/>
    <cellStyle name="20% - Accent2 6" xfId="248" xr:uid="{00000000-0005-0000-0000-000022000000}"/>
    <cellStyle name="20% - Accent2 7" xfId="249" xr:uid="{00000000-0005-0000-0000-000023000000}"/>
    <cellStyle name="20% - Accent2 8" xfId="250" xr:uid="{00000000-0005-0000-0000-000024000000}"/>
    <cellStyle name="20% - Accent2 9" xfId="251" xr:uid="{00000000-0005-0000-0000-000025000000}"/>
    <cellStyle name="20% - Accent3" xfId="118" builtinId="38" customBuiltin="1"/>
    <cellStyle name="20% - Accent3 10" xfId="252" xr:uid="{00000000-0005-0000-0000-000027000000}"/>
    <cellStyle name="20% - Accent3 11" xfId="253" xr:uid="{00000000-0005-0000-0000-000028000000}"/>
    <cellStyle name="20% - Accent3 12" xfId="254" xr:uid="{00000000-0005-0000-0000-000029000000}"/>
    <cellStyle name="20% - Accent3 13" xfId="255" xr:uid="{00000000-0005-0000-0000-00002A000000}"/>
    <cellStyle name="20% - Accent3 14" xfId="256" xr:uid="{00000000-0005-0000-0000-00002B000000}"/>
    <cellStyle name="20% - Accent3 15" xfId="257" xr:uid="{00000000-0005-0000-0000-00002C000000}"/>
    <cellStyle name="20% - Accent3 16" xfId="258" xr:uid="{00000000-0005-0000-0000-00002D000000}"/>
    <cellStyle name="20% - Accent3 17" xfId="259" xr:uid="{00000000-0005-0000-0000-00002E000000}"/>
    <cellStyle name="20% - Accent3 18" xfId="260" xr:uid="{00000000-0005-0000-0000-00002F000000}"/>
    <cellStyle name="20% - Accent3 19" xfId="261" xr:uid="{00000000-0005-0000-0000-000030000000}"/>
    <cellStyle name="20% - Accent3 2" xfId="149" xr:uid="{00000000-0005-0000-0000-000031000000}"/>
    <cellStyle name="20% - Accent3 3" xfId="262" xr:uid="{00000000-0005-0000-0000-000032000000}"/>
    <cellStyle name="20% - Accent3 4" xfId="263" xr:uid="{00000000-0005-0000-0000-000033000000}"/>
    <cellStyle name="20% - Accent3 5" xfId="264" xr:uid="{00000000-0005-0000-0000-000034000000}"/>
    <cellStyle name="20% - Accent3 6" xfId="265" xr:uid="{00000000-0005-0000-0000-000035000000}"/>
    <cellStyle name="20% - Accent3 7" xfId="266" xr:uid="{00000000-0005-0000-0000-000036000000}"/>
    <cellStyle name="20% - Accent3 8" xfId="267" xr:uid="{00000000-0005-0000-0000-000037000000}"/>
    <cellStyle name="20% - Accent3 9" xfId="268" xr:uid="{00000000-0005-0000-0000-000038000000}"/>
    <cellStyle name="20% - Accent4" xfId="122" builtinId="42" customBuiltin="1"/>
    <cellStyle name="20% - Accent4 10" xfId="269" xr:uid="{00000000-0005-0000-0000-00003A000000}"/>
    <cellStyle name="20% - Accent4 11" xfId="270" xr:uid="{00000000-0005-0000-0000-00003B000000}"/>
    <cellStyle name="20% - Accent4 12" xfId="271" xr:uid="{00000000-0005-0000-0000-00003C000000}"/>
    <cellStyle name="20% - Accent4 13" xfId="272" xr:uid="{00000000-0005-0000-0000-00003D000000}"/>
    <cellStyle name="20% - Accent4 14" xfId="273" xr:uid="{00000000-0005-0000-0000-00003E000000}"/>
    <cellStyle name="20% - Accent4 15" xfId="274" xr:uid="{00000000-0005-0000-0000-00003F000000}"/>
    <cellStyle name="20% - Accent4 16" xfId="275" xr:uid="{00000000-0005-0000-0000-000040000000}"/>
    <cellStyle name="20% - Accent4 17" xfId="276" xr:uid="{00000000-0005-0000-0000-000041000000}"/>
    <cellStyle name="20% - Accent4 18" xfId="277" xr:uid="{00000000-0005-0000-0000-000042000000}"/>
    <cellStyle name="20% - Accent4 19" xfId="278" xr:uid="{00000000-0005-0000-0000-000043000000}"/>
    <cellStyle name="20% - Accent4 2" xfId="150" xr:uid="{00000000-0005-0000-0000-000044000000}"/>
    <cellStyle name="20% - Accent4 3" xfId="279" xr:uid="{00000000-0005-0000-0000-000045000000}"/>
    <cellStyle name="20% - Accent4 4" xfId="280" xr:uid="{00000000-0005-0000-0000-000046000000}"/>
    <cellStyle name="20% - Accent4 5" xfId="281" xr:uid="{00000000-0005-0000-0000-000047000000}"/>
    <cellStyle name="20% - Accent4 6" xfId="282" xr:uid="{00000000-0005-0000-0000-000048000000}"/>
    <cellStyle name="20% - Accent4 7" xfId="283" xr:uid="{00000000-0005-0000-0000-000049000000}"/>
    <cellStyle name="20% - Accent4 8" xfId="284" xr:uid="{00000000-0005-0000-0000-00004A000000}"/>
    <cellStyle name="20% - Accent4 9" xfId="285" xr:uid="{00000000-0005-0000-0000-00004B000000}"/>
    <cellStyle name="20% - Accent5" xfId="126" builtinId="46" customBuiltin="1"/>
    <cellStyle name="20% - Accent5 10" xfId="286" xr:uid="{00000000-0005-0000-0000-00004D000000}"/>
    <cellStyle name="20% - Accent5 11" xfId="287" xr:uid="{00000000-0005-0000-0000-00004E000000}"/>
    <cellStyle name="20% - Accent5 12" xfId="288" xr:uid="{00000000-0005-0000-0000-00004F000000}"/>
    <cellStyle name="20% - Accent5 13" xfId="289" xr:uid="{00000000-0005-0000-0000-000050000000}"/>
    <cellStyle name="20% - Accent5 14" xfId="290" xr:uid="{00000000-0005-0000-0000-000051000000}"/>
    <cellStyle name="20% - Accent5 15" xfId="291" xr:uid="{00000000-0005-0000-0000-000052000000}"/>
    <cellStyle name="20% - Accent5 16" xfId="292" xr:uid="{00000000-0005-0000-0000-000053000000}"/>
    <cellStyle name="20% - Accent5 17" xfId="293" xr:uid="{00000000-0005-0000-0000-000054000000}"/>
    <cellStyle name="20% - Accent5 18" xfId="294" xr:uid="{00000000-0005-0000-0000-000055000000}"/>
    <cellStyle name="20% - Accent5 19" xfId="295" xr:uid="{00000000-0005-0000-0000-000056000000}"/>
    <cellStyle name="20% - Accent5 2" xfId="151" xr:uid="{00000000-0005-0000-0000-000057000000}"/>
    <cellStyle name="20% - Accent5 3" xfId="296" xr:uid="{00000000-0005-0000-0000-000058000000}"/>
    <cellStyle name="20% - Accent5 4" xfId="297" xr:uid="{00000000-0005-0000-0000-000059000000}"/>
    <cellStyle name="20% - Accent5 5" xfId="298" xr:uid="{00000000-0005-0000-0000-00005A000000}"/>
    <cellStyle name="20% - Accent5 6" xfId="299" xr:uid="{00000000-0005-0000-0000-00005B000000}"/>
    <cellStyle name="20% - Accent5 7" xfId="300" xr:uid="{00000000-0005-0000-0000-00005C000000}"/>
    <cellStyle name="20% - Accent5 8" xfId="301" xr:uid="{00000000-0005-0000-0000-00005D000000}"/>
    <cellStyle name="20% - Accent5 9" xfId="302" xr:uid="{00000000-0005-0000-0000-00005E000000}"/>
    <cellStyle name="20% - Accent6" xfId="130" builtinId="50" customBuiltin="1"/>
    <cellStyle name="20% - Accent6 10" xfId="303" xr:uid="{00000000-0005-0000-0000-000060000000}"/>
    <cellStyle name="20% - Accent6 11" xfId="304" xr:uid="{00000000-0005-0000-0000-000061000000}"/>
    <cellStyle name="20% - Accent6 12" xfId="305" xr:uid="{00000000-0005-0000-0000-000062000000}"/>
    <cellStyle name="20% - Accent6 13" xfId="306" xr:uid="{00000000-0005-0000-0000-000063000000}"/>
    <cellStyle name="20% - Accent6 14" xfId="307" xr:uid="{00000000-0005-0000-0000-000064000000}"/>
    <cellStyle name="20% - Accent6 15" xfId="308" xr:uid="{00000000-0005-0000-0000-000065000000}"/>
    <cellStyle name="20% - Accent6 16" xfId="309" xr:uid="{00000000-0005-0000-0000-000066000000}"/>
    <cellStyle name="20% - Accent6 17" xfId="310" xr:uid="{00000000-0005-0000-0000-000067000000}"/>
    <cellStyle name="20% - Accent6 18" xfId="311" xr:uid="{00000000-0005-0000-0000-000068000000}"/>
    <cellStyle name="20% - Accent6 19" xfId="312" xr:uid="{00000000-0005-0000-0000-000069000000}"/>
    <cellStyle name="20% - Accent6 2" xfId="152" xr:uid="{00000000-0005-0000-0000-00006A000000}"/>
    <cellStyle name="20% - Accent6 3" xfId="313" xr:uid="{00000000-0005-0000-0000-00006B000000}"/>
    <cellStyle name="20% - Accent6 4" xfId="314" xr:uid="{00000000-0005-0000-0000-00006C000000}"/>
    <cellStyle name="20% - Accent6 5" xfId="315" xr:uid="{00000000-0005-0000-0000-00006D000000}"/>
    <cellStyle name="20% - Accent6 6" xfId="316" xr:uid="{00000000-0005-0000-0000-00006E000000}"/>
    <cellStyle name="20% - Accent6 7" xfId="317" xr:uid="{00000000-0005-0000-0000-00006F000000}"/>
    <cellStyle name="20% - Accent6 8" xfId="318" xr:uid="{00000000-0005-0000-0000-000070000000}"/>
    <cellStyle name="20% - Accent6 9" xfId="319" xr:uid="{00000000-0005-0000-0000-000071000000}"/>
    <cellStyle name="40% - Accent1" xfId="111" builtinId="31" customBuiltin="1"/>
    <cellStyle name="40% - Accent1 10" xfId="320" xr:uid="{00000000-0005-0000-0000-000073000000}"/>
    <cellStyle name="40% - Accent1 11" xfId="321" xr:uid="{00000000-0005-0000-0000-000074000000}"/>
    <cellStyle name="40% - Accent1 12" xfId="322" xr:uid="{00000000-0005-0000-0000-000075000000}"/>
    <cellStyle name="40% - Accent1 13" xfId="323" xr:uid="{00000000-0005-0000-0000-000076000000}"/>
    <cellStyle name="40% - Accent1 14" xfId="324" xr:uid="{00000000-0005-0000-0000-000077000000}"/>
    <cellStyle name="40% - Accent1 15" xfId="325" xr:uid="{00000000-0005-0000-0000-000078000000}"/>
    <cellStyle name="40% - Accent1 16" xfId="326" xr:uid="{00000000-0005-0000-0000-000079000000}"/>
    <cellStyle name="40% - Accent1 17" xfId="327" xr:uid="{00000000-0005-0000-0000-00007A000000}"/>
    <cellStyle name="40% - Accent1 18" xfId="328" xr:uid="{00000000-0005-0000-0000-00007B000000}"/>
    <cellStyle name="40% - Accent1 19" xfId="329" xr:uid="{00000000-0005-0000-0000-00007C000000}"/>
    <cellStyle name="40% - Accent1 2" xfId="153" xr:uid="{00000000-0005-0000-0000-00007D000000}"/>
    <cellStyle name="40% - Accent1 3" xfId="330" xr:uid="{00000000-0005-0000-0000-00007E000000}"/>
    <cellStyle name="40% - Accent1 4" xfId="331" xr:uid="{00000000-0005-0000-0000-00007F000000}"/>
    <cellStyle name="40% - Accent1 5" xfId="332" xr:uid="{00000000-0005-0000-0000-000080000000}"/>
    <cellStyle name="40% - Accent1 6" xfId="333" xr:uid="{00000000-0005-0000-0000-000081000000}"/>
    <cellStyle name="40% - Accent1 7" xfId="334" xr:uid="{00000000-0005-0000-0000-000082000000}"/>
    <cellStyle name="40% - Accent1 8" xfId="335" xr:uid="{00000000-0005-0000-0000-000083000000}"/>
    <cellStyle name="40% - Accent1 9" xfId="336" xr:uid="{00000000-0005-0000-0000-000084000000}"/>
    <cellStyle name="40% - Accent2" xfId="115" builtinId="35" customBuiltin="1"/>
    <cellStyle name="40% - Accent2 10" xfId="337" xr:uid="{00000000-0005-0000-0000-000086000000}"/>
    <cellStyle name="40% - Accent2 11" xfId="338" xr:uid="{00000000-0005-0000-0000-000087000000}"/>
    <cellStyle name="40% - Accent2 12" xfId="339" xr:uid="{00000000-0005-0000-0000-000088000000}"/>
    <cellStyle name="40% - Accent2 13" xfId="340" xr:uid="{00000000-0005-0000-0000-000089000000}"/>
    <cellStyle name="40% - Accent2 14" xfId="341" xr:uid="{00000000-0005-0000-0000-00008A000000}"/>
    <cellStyle name="40% - Accent2 15" xfId="342" xr:uid="{00000000-0005-0000-0000-00008B000000}"/>
    <cellStyle name="40% - Accent2 16" xfId="343" xr:uid="{00000000-0005-0000-0000-00008C000000}"/>
    <cellStyle name="40% - Accent2 17" xfId="344" xr:uid="{00000000-0005-0000-0000-00008D000000}"/>
    <cellStyle name="40% - Accent2 18" xfId="345" xr:uid="{00000000-0005-0000-0000-00008E000000}"/>
    <cellStyle name="40% - Accent2 19" xfId="346" xr:uid="{00000000-0005-0000-0000-00008F000000}"/>
    <cellStyle name="40% - Accent2 2" xfId="154" xr:uid="{00000000-0005-0000-0000-000090000000}"/>
    <cellStyle name="40% - Accent2 3" xfId="347" xr:uid="{00000000-0005-0000-0000-000091000000}"/>
    <cellStyle name="40% - Accent2 4" xfId="348" xr:uid="{00000000-0005-0000-0000-000092000000}"/>
    <cellStyle name="40% - Accent2 5" xfId="349" xr:uid="{00000000-0005-0000-0000-000093000000}"/>
    <cellStyle name="40% - Accent2 6" xfId="350" xr:uid="{00000000-0005-0000-0000-000094000000}"/>
    <cellStyle name="40% - Accent2 7" xfId="351" xr:uid="{00000000-0005-0000-0000-000095000000}"/>
    <cellStyle name="40% - Accent2 8" xfId="352" xr:uid="{00000000-0005-0000-0000-000096000000}"/>
    <cellStyle name="40% - Accent2 9" xfId="353" xr:uid="{00000000-0005-0000-0000-000097000000}"/>
    <cellStyle name="40% - Accent3" xfId="119" builtinId="39" customBuiltin="1"/>
    <cellStyle name="40% - Accent3 10" xfId="354" xr:uid="{00000000-0005-0000-0000-000099000000}"/>
    <cellStyle name="40% - Accent3 11" xfId="355" xr:uid="{00000000-0005-0000-0000-00009A000000}"/>
    <cellStyle name="40% - Accent3 12" xfId="356" xr:uid="{00000000-0005-0000-0000-00009B000000}"/>
    <cellStyle name="40% - Accent3 13" xfId="357" xr:uid="{00000000-0005-0000-0000-00009C000000}"/>
    <cellStyle name="40% - Accent3 14" xfId="358" xr:uid="{00000000-0005-0000-0000-00009D000000}"/>
    <cellStyle name="40% - Accent3 15" xfId="359" xr:uid="{00000000-0005-0000-0000-00009E000000}"/>
    <cellStyle name="40% - Accent3 16" xfId="360" xr:uid="{00000000-0005-0000-0000-00009F000000}"/>
    <cellStyle name="40% - Accent3 17" xfId="361" xr:uid="{00000000-0005-0000-0000-0000A0000000}"/>
    <cellStyle name="40% - Accent3 18" xfId="362" xr:uid="{00000000-0005-0000-0000-0000A1000000}"/>
    <cellStyle name="40% - Accent3 19" xfId="363" xr:uid="{00000000-0005-0000-0000-0000A2000000}"/>
    <cellStyle name="40% - Accent3 2" xfId="155" xr:uid="{00000000-0005-0000-0000-0000A3000000}"/>
    <cellStyle name="40% - Accent3 3" xfId="364" xr:uid="{00000000-0005-0000-0000-0000A4000000}"/>
    <cellStyle name="40% - Accent3 4" xfId="365" xr:uid="{00000000-0005-0000-0000-0000A5000000}"/>
    <cellStyle name="40% - Accent3 5" xfId="366" xr:uid="{00000000-0005-0000-0000-0000A6000000}"/>
    <cellStyle name="40% - Accent3 6" xfId="367" xr:uid="{00000000-0005-0000-0000-0000A7000000}"/>
    <cellStyle name="40% - Accent3 7" xfId="368" xr:uid="{00000000-0005-0000-0000-0000A8000000}"/>
    <cellStyle name="40% - Accent3 8" xfId="369" xr:uid="{00000000-0005-0000-0000-0000A9000000}"/>
    <cellStyle name="40% - Accent3 9" xfId="370" xr:uid="{00000000-0005-0000-0000-0000AA000000}"/>
    <cellStyle name="40% - Accent4" xfId="123" builtinId="43" customBuiltin="1"/>
    <cellStyle name="40% - Accent4 10" xfId="371" xr:uid="{00000000-0005-0000-0000-0000AC000000}"/>
    <cellStyle name="40% - Accent4 11" xfId="372" xr:uid="{00000000-0005-0000-0000-0000AD000000}"/>
    <cellStyle name="40% - Accent4 12" xfId="373" xr:uid="{00000000-0005-0000-0000-0000AE000000}"/>
    <cellStyle name="40% - Accent4 13" xfId="374" xr:uid="{00000000-0005-0000-0000-0000AF000000}"/>
    <cellStyle name="40% - Accent4 14" xfId="375" xr:uid="{00000000-0005-0000-0000-0000B0000000}"/>
    <cellStyle name="40% - Accent4 15" xfId="376" xr:uid="{00000000-0005-0000-0000-0000B1000000}"/>
    <cellStyle name="40% - Accent4 16" xfId="377" xr:uid="{00000000-0005-0000-0000-0000B2000000}"/>
    <cellStyle name="40% - Accent4 17" xfId="378" xr:uid="{00000000-0005-0000-0000-0000B3000000}"/>
    <cellStyle name="40% - Accent4 18" xfId="379" xr:uid="{00000000-0005-0000-0000-0000B4000000}"/>
    <cellStyle name="40% - Accent4 19" xfId="380" xr:uid="{00000000-0005-0000-0000-0000B5000000}"/>
    <cellStyle name="40% - Accent4 2" xfId="156" xr:uid="{00000000-0005-0000-0000-0000B6000000}"/>
    <cellStyle name="40% - Accent4 3" xfId="381" xr:uid="{00000000-0005-0000-0000-0000B7000000}"/>
    <cellStyle name="40% - Accent4 4" xfId="382" xr:uid="{00000000-0005-0000-0000-0000B8000000}"/>
    <cellStyle name="40% - Accent4 5" xfId="383" xr:uid="{00000000-0005-0000-0000-0000B9000000}"/>
    <cellStyle name="40% - Accent4 6" xfId="384" xr:uid="{00000000-0005-0000-0000-0000BA000000}"/>
    <cellStyle name="40% - Accent4 7" xfId="385" xr:uid="{00000000-0005-0000-0000-0000BB000000}"/>
    <cellStyle name="40% - Accent4 8" xfId="386" xr:uid="{00000000-0005-0000-0000-0000BC000000}"/>
    <cellStyle name="40% - Accent4 9" xfId="387" xr:uid="{00000000-0005-0000-0000-0000BD000000}"/>
    <cellStyle name="40% - Accent5" xfId="127" builtinId="47" customBuiltin="1"/>
    <cellStyle name="40% - Accent5 10" xfId="388" xr:uid="{00000000-0005-0000-0000-0000BF000000}"/>
    <cellStyle name="40% - Accent5 11" xfId="389" xr:uid="{00000000-0005-0000-0000-0000C0000000}"/>
    <cellStyle name="40% - Accent5 12" xfId="390" xr:uid="{00000000-0005-0000-0000-0000C1000000}"/>
    <cellStyle name="40% - Accent5 13" xfId="391" xr:uid="{00000000-0005-0000-0000-0000C2000000}"/>
    <cellStyle name="40% - Accent5 14" xfId="392" xr:uid="{00000000-0005-0000-0000-0000C3000000}"/>
    <cellStyle name="40% - Accent5 15" xfId="393" xr:uid="{00000000-0005-0000-0000-0000C4000000}"/>
    <cellStyle name="40% - Accent5 16" xfId="394" xr:uid="{00000000-0005-0000-0000-0000C5000000}"/>
    <cellStyle name="40% - Accent5 17" xfId="395" xr:uid="{00000000-0005-0000-0000-0000C6000000}"/>
    <cellStyle name="40% - Accent5 18" xfId="396" xr:uid="{00000000-0005-0000-0000-0000C7000000}"/>
    <cellStyle name="40% - Accent5 19" xfId="397" xr:uid="{00000000-0005-0000-0000-0000C8000000}"/>
    <cellStyle name="40% - Accent5 2" xfId="157" xr:uid="{00000000-0005-0000-0000-0000C9000000}"/>
    <cellStyle name="40% - Accent5 3" xfId="398" xr:uid="{00000000-0005-0000-0000-0000CA000000}"/>
    <cellStyle name="40% - Accent5 4" xfId="399" xr:uid="{00000000-0005-0000-0000-0000CB000000}"/>
    <cellStyle name="40% - Accent5 5" xfId="400" xr:uid="{00000000-0005-0000-0000-0000CC000000}"/>
    <cellStyle name="40% - Accent5 6" xfId="401" xr:uid="{00000000-0005-0000-0000-0000CD000000}"/>
    <cellStyle name="40% - Accent5 7" xfId="402" xr:uid="{00000000-0005-0000-0000-0000CE000000}"/>
    <cellStyle name="40% - Accent5 8" xfId="403" xr:uid="{00000000-0005-0000-0000-0000CF000000}"/>
    <cellStyle name="40% - Accent5 9" xfId="404" xr:uid="{00000000-0005-0000-0000-0000D0000000}"/>
    <cellStyle name="40% - Accent6" xfId="131" builtinId="51" customBuiltin="1"/>
    <cellStyle name="40% - Accent6 10" xfId="405" xr:uid="{00000000-0005-0000-0000-0000D2000000}"/>
    <cellStyle name="40% - Accent6 11" xfId="406" xr:uid="{00000000-0005-0000-0000-0000D3000000}"/>
    <cellStyle name="40% - Accent6 12" xfId="407" xr:uid="{00000000-0005-0000-0000-0000D4000000}"/>
    <cellStyle name="40% - Accent6 13" xfId="408" xr:uid="{00000000-0005-0000-0000-0000D5000000}"/>
    <cellStyle name="40% - Accent6 14" xfId="409" xr:uid="{00000000-0005-0000-0000-0000D6000000}"/>
    <cellStyle name="40% - Accent6 15" xfId="410" xr:uid="{00000000-0005-0000-0000-0000D7000000}"/>
    <cellStyle name="40% - Accent6 16" xfId="411" xr:uid="{00000000-0005-0000-0000-0000D8000000}"/>
    <cellStyle name="40% - Accent6 17" xfId="412" xr:uid="{00000000-0005-0000-0000-0000D9000000}"/>
    <cellStyle name="40% - Accent6 18" xfId="413" xr:uid="{00000000-0005-0000-0000-0000DA000000}"/>
    <cellStyle name="40% - Accent6 19" xfId="414" xr:uid="{00000000-0005-0000-0000-0000DB000000}"/>
    <cellStyle name="40% - Accent6 2" xfId="158" xr:uid="{00000000-0005-0000-0000-0000DC000000}"/>
    <cellStyle name="40% - Accent6 3" xfId="415" xr:uid="{00000000-0005-0000-0000-0000DD000000}"/>
    <cellStyle name="40% - Accent6 4" xfId="416" xr:uid="{00000000-0005-0000-0000-0000DE000000}"/>
    <cellStyle name="40% - Accent6 5" xfId="417" xr:uid="{00000000-0005-0000-0000-0000DF000000}"/>
    <cellStyle name="40% - Accent6 6" xfId="418" xr:uid="{00000000-0005-0000-0000-0000E0000000}"/>
    <cellStyle name="40% - Accent6 7" xfId="419" xr:uid="{00000000-0005-0000-0000-0000E1000000}"/>
    <cellStyle name="40% - Accent6 8" xfId="420" xr:uid="{00000000-0005-0000-0000-0000E2000000}"/>
    <cellStyle name="40% - Accent6 9" xfId="421" xr:uid="{00000000-0005-0000-0000-0000E3000000}"/>
    <cellStyle name="60% - Accent1" xfId="112" builtinId="32" customBuiltin="1"/>
    <cellStyle name="60% - Accent1 10" xfId="422" xr:uid="{00000000-0005-0000-0000-0000E5000000}"/>
    <cellStyle name="60% - Accent1 11" xfId="423" xr:uid="{00000000-0005-0000-0000-0000E6000000}"/>
    <cellStyle name="60% - Accent1 12" xfId="424" xr:uid="{00000000-0005-0000-0000-0000E7000000}"/>
    <cellStyle name="60% - Accent1 13" xfId="425" xr:uid="{00000000-0005-0000-0000-0000E8000000}"/>
    <cellStyle name="60% - Accent1 14" xfId="426" xr:uid="{00000000-0005-0000-0000-0000E9000000}"/>
    <cellStyle name="60% - Accent1 15" xfId="427" xr:uid="{00000000-0005-0000-0000-0000EA000000}"/>
    <cellStyle name="60% - Accent1 16" xfId="428" xr:uid="{00000000-0005-0000-0000-0000EB000000}"/>
    <cellStyle name="60% - Accent1 17" xfId="429" xr:uid="{00000000-0005-0000-0000-0000EC000000}"/>
    <cellStyle name="60% - Accent1 18" xfId="430" xr:uid="{00000000-0005-0000-0000-0000ED000000}"/>
    <cellStyle name="60% - Accent1 19" xfId="431" xr:uid="{00000000-0005-0000-0000-0000EE000000}"/>
    <cellStyle name="60% - Accent1 2" xfId="159" xr:uid="{00000000-0005-0000-0000-0000EF000000}"/>
    <cellStyle name="60% - Accent1 3" xfId="432" xr:uid="{00000000-0005-0000-0000-0000F0000000}"/>
    <cellStyle name="60% - Accent1 4" xfId="433" xr:uid="{00000000-0005-0000-0000-0000F1000000}"/>
    <cellStyle name="60% - Accent1 5" xfId="434" xr:uid="{00000000-0005-0000-0000-0000F2000000}"/>
    <cellStyle name="60% - Accent1 6" xfId="435" xr:uid="{00000000-0005-0000-0000-0000F3000000}"/>
    <cellStyle name="60% - Accent1 7" xfId="436" xr:uid="{00000000-0005-0000-0000-0000F4000000}"/>
    <cellStyle name="60% - Accent1 8" xfId="437" xr:uid="{00000000-0005-0000-0000-0000F5000000}"/>
    <cellStyle name="60% - Accent1 9" xfId="438" xr:uid="{00000000-0005-0000-0000-0000F6000000}"/>
    <cellStyle name="60% - Accent2" xfId="116" builtinId="36" customBuiltin="1"/>
    <cellStyle name="60% - Accent2 10" xfId="439" xr:uid="{00000000-0005-0000-0000-0000F8000000}"/>
    <cellStyle name="60% - Accent2 11" xfId="440" xr:uid="{00000000-0005-0000-0000-0000F9000000}"/>
    <cellStyle name="60% - Accent2 12" xfId="441" xr:uid="{00000000-0005-0000-0000-0000FA000000}"/>
    <cellStyle name="60% - Accent2 13" xfId="442" xr:uid="{00000000-0005-0000-0000-0000FB000000}"/>
    <cellStyle name="60% - Accent2 14" xfId="443" xr:uid="{00000000-0005-0000-0000-0000FC000000}"/>
    <cellStyle name="60% - Accent2 15" xfId="444" xr:uid="{00000000-0005-0000-0000-0000FD000000}"/>
    <cellStyle name="60% - Accent2 16" xfId="445" xr:uid="{00000000-0005-0000-0000-0000FE000000}"/>
    <cellStyle name="60% - Accent2 17" xfId="446" xr:uid="{00000000-0005-0000-0000-0000FF000000}"/>
    <cellStyle name="60% - Accent2 18" xfId="447" xr:uid="{00000000-0005-0000-0000-000000010000}"/>
    <cellStyle name="60% - Accent2 19" xfId="448" xr:uid="{00000000-0005-0000-0000-000001010000}"/>
    <cellStyle name="60% - Accent2 2" xfId="160" xr:uid="{00000000-0005-0000-0000-000002010000}"/>
    <cellStyle name="60% - Accent2 3" xfId="449" xr:uid="{00000000-0005-0000-0000-000003010000}"/>
    <cellStyle name="60% - Accent2 4" xfId="450" xr:uid="{00000000-0005-0000-0000-000004010000}"/>
    <cellStyle name="60% - Accent2 5" xfId="451" xr:uid="{00000000-0005-0000-0000-000005010000}"/>
    <cellStyle name="60% - Accent2 6" xfId="452" xr:uid="{00000000-0005-0000-0000-000006010000}"/>
    <cellStyle name="60% - Accent2 7" xfId="453" xr:uid="{00000000-0005-0000-0000-000007010000}"/>
    <cellStyle name="60% - Accent2 8" xfId="454" xr:uid="{00000000-0005-0000-0000-000008010000}"/>
    <cellStyle name="60% - Accent2 9" xfId="455" xr:uid="{00000000-0005-0000-0000-000009010000}"/>
    <cellStyle name="60% - Accent3" xfId="120" builtinId="40" customBuiltin="1"/>
    <cellStyle name="60% - Accent3 10" xfId="456" xr:uid="{00000000-0005-0000-0000-00000B010000}"/>
    <cellStyle name="60% - Accent3 11" xfId="457" xr:uid="{00000000-0005-0000-0000-00000C010000}"/>
    <cellStyle name="60% - Accent3 12" xfId="458" xr:uid="{00000000-0005-0000-0000-00000D010000}"/>
    <cellStyle name="60% - Accent3 13" xfId="459" xr:uid="{00000000-0005-0000-0000-00000E010000}"/>
    <cellStyle name="60% - Accent3 14" xfId="460" xr:uid="{00000000-0005-0000-0000-00000F010000}"/>
    <cellStyle name="60% - Accent3 15" xfId="461" xr:uid="{00000000-0005-0000-0000-000010010000}"/>
    <cellStyle name="60% - Accent3 16" xfId="462" xr:uid="{00000000-0005-0000-0000-000011010000}"/>
    <cellStyle name="60% - Accent3 17" xfId="463" xr:uid="{00000000-0005-0000-0000-000012010000}"/>
    <cellStyle name="60% - Accent3 18" xfId="464" xr:uid="{00000000-0005-0000-0000-000013010000}"/>
    <cellStyle name="60% - Accent3 19" xfId="465" xr:uid="{00000000-0005-0000-0000-000014010000}"/>
    <cellStyle name="60% - Accent3 2" xfId="161" xr:uid="{00000000-0005-0000-0000-000015010000}"/>
    <cellStyle name="60% - Accent3 3" xfId="466" xr:uid="{00000000-0005-0000-0000-000016010000}"/>
    <cellStyle name="60% - Accent3 4" xfId="467" xr:uid="{00000000-0005-0000-0000-000017010000}"/>
    <cellStyle name="60% - Accent3 5" xfId="468" xr:uid="{00000000-0005-0000-0000-000018010000}"/>
    <cellStyle name="60% - Accent3 6" xfId="469" xr:uid="{00000000-0005-0000-0000-000019010000}"/>
    <cellStyle name="60% - Accent3 7" xfId="470" xr:uid="{00000000-0005-0000-0000-00001A010000}"/>
    <cellStyle name="60% - Accent3 8" xfId="471" xr:uid="{00000000-0005-0000-0000-00001B010000}"/>
    <cellStyle name="60% - Accent3 9" xfId="472" xr:uid="{00000000-0005-0000-0000-00001C010000}"/>
    <cellStyle name="60% - Accent4" xfId="124" builtinId="44" customBuiltin="1"/>
    <cellStyle name="60% - Accent4 10" xfId="473" xr:uid="{00000000-0005-0000-0000-00001E010000}"/>
    <cellStyle name="60% - Accent4 11" xfId="474" xr:uid="{00000000-0005-0000-0000-00001F010000}"/>
    <cellStyle name="60% - Accent4 12" xfId="475" xr:uid="{00000000-0005-0000-0000-000020010000}"/>
    <cellStyle name="60% - Accent4 13" xfId="476" xr:uid="{00000000-0005-0000-0000-000021010000}"/>
    <cellStyle name="60% - Accent4 14" xfId="477" xr:uid="{00000000-0005-0000-0000-000022010000}"/>
    <cellStyle name="60% - Accent4 15" xfId="478" xr:uid="{00000000-0005-0000-0000-000023010000}"/>
    <cellStyle name="60% - Accent4 16" xfId="479" xr:uid="{00000000-0005-0000-0000-000024010000}"/>
    <cellStyle name="60% - Accent4 17" xfId="480" xr:uid="{00000000-0005-0000-0000-000025010000}"/>
    <cellStyle name="60% - Accent4 18" xfId="481" xr:uid="{00000000-0005-0000-0000-000026010000}"/>
    <cellStyle name="60% - Accent4 19" xfId="482" xr:uid="{00000000-0005-0000-0000-000027010000}"/>
    <cellStyle name="60% - Accent4 2" xfId="162" xr:uid="{00000000-0005-0000-0000-000028010000}"/>
    <cellStyle name="60% - Accent4 3" xfId="483" xr:uid="{00000000-0005-0000-0000-000029010000}"/>
    <cellStyle name="60% - Accent4 4" xfId="484" xr:uid="{00000000-0005-0000-0000-00002A010000}"/>
    <cellStyle name="60% - Accent4 5" xfId="485" xr:uid="{00000000-0005-0000-0000-00002B010000}"/>
    <cellStyle name="60% - Accent4 6" xfId="486" xr:uid="{00000000-0005-0000-0000-00002C010000}"/>
    <cellStyle name="60% - Accent4 7" xfId="487" xr:uid="{00000000-0005-0000-0000-00002D010000}"/>
    <cellStyle name="60% - Accent4 8" xfId="488" xr:uid="{00000000-0005-0000-0000-00002E010000}"/>
    <cellStyle name="60% - Accent4 9" xfId="489" xr:uid="{00000000-0005-0000-0000-00002F010000}"/>
    <cellStyle name="60% - Accent5" xfId="128" builtinId="48" customBuiltin="1"/>
    <cellStyle name="60% - Accent5 10" xfId="490" xr:uid="{00000000-0005-0000-0000-000031010000}"/>
    <cellStyle name="60% - Accent5 11" xfId="491" xr:uid="{00000000-0005-0000-0000-000032010000}"/>
    <cellStyle name="60% - Accent5 12" xfId="492" xr:uid="{00000000-0005-0000-0000-000033010000}"/>
    <cellStyle name="60% - Accent5 13" xfId="493" xr:uid="{00000000-0005-0000-0000-000034010000}"/>
    <cellStyle name="60% - Accent5 14" xfId="494" xr:uid="{00000000-0005-0000-0000-000035010000}"/>
    <cellStyle name="60% - Accent5 15" xfId="495" xr:uid="{00000000-0005-0000-0000-000036010000}"/>
    <cellStyle name="60% - Accent5 16" xfId="496" xr:uid="{00000000-0005-0000-0000-000037010000}"/>
    <cellStyle name="60% - Accent5 17" xfId="497" xr:uid="{00000000-0005-0000-0000-000038010000}"/>
    <cellStyle name="60% - Accent5 18" xfId="498" xr:uid="{00000000-0005-0000-0000-000039010000}"/>
    <cellStyle name="60% - Accent5 19" xfId="499" xr:uid="{00000000-0005-0000-0000-00003A010000}"/>
    <cellStyle name="60% - Accent5 2" xfId="163" xr:uid="{00000000-0005-0000-0000-00003B010000}"/>
    <cellStyle name="60% - Accent5 3" xfId="500" xr:uid="{00000000-0005-0000-0000-00003C010000}"/>
    <cellStyle name="60% - Accent5 4" xfId="501" xr:uid="{00000000-0005-0000-0000-00003D010000}"/>
    <cellStyle name="60% - Accent5 5" xfId="502" xr:uid="{00000000-0005-0000-0000-00003E010000}"/>
    <cellStyle name="60% - Accent5 6" xfId="503" xr:uid="{00000000-0005-0000-0000-00003F010000}"/>
    <cellStyle name="60% - Accent5 7" xfId="504" xr:uid="{00000000-0005-0000-0000-000040010000}"/>
    <cellStyle name="60% - Accent5 8" xfId="505" xr:uid="{00000000-0005-0000-0000-000041010000}"/>
    <cellStyle name="60% - Accent5 9" xfId="506" xr:uid="{00000000-0005-0000-0000-000042010000}"/>
    <cellStyle name="60% - Accent6" xfId="132" builtinId="52" customBuiltin="1"/>
    <cellStyle name="60% - Accent6 10" xfId="507" xr:uid="{00000000-0005-0000-0000-000044010000}"/>
    <cellStyle name="60% - Accent6 11" xfId="508" xr:uid="{00000000-0005-0000-0000-000045010000}"/>
    <cellStyle name="60% - Accent6 12" xfId="509" xr:uid="{00000000-0005-0000-0000-000046010000}"/>
    <cellStyle name="60% - Accent6 13" xfId="510" xr:uid="{00000000-0005-0000-0000-000047010000}"/>
    <cellStyle name="60% - Accent6 14" xfId="511" xr:uid="{00000000-0005-0000-0000-000048010000}"/>
    <cellStyle name="60% - Accent6 15" xfId="512" xr:uid="{00000000-0005-0000-0000-000049010000}"/>
    <cellStyle name="60% - Accent6 16" xfId="513" xr:uid="{00000000-0005-0000-0000-00004A010000}"/>
    <cellStyle name="60% - Accent6 17" xfId="514" xr:uid="{00000000-0005-0000-0000-00004B010000}"/>
    <cellStyle name="60% - Accent6 18" xfId="515" xr:uid="{00000000-0005-0000-0000-00004C010000}"/>
    <cellStyle name="60% - Accent6 19" xfId="516" xr:uid="{00000000-0005-0000-0000-00004D010000}"/>
    <cellStyle name="60% - Accent6 2" xfId="164" xr:uid="{00000000-0005-0000-0000-00004E010000}"/>
    <cellStyle name="60% - Accent6 3" xfId="517" xr:uid="{00000000-0005-0000-0000-00004F010000}"/>
    <cellStyle name="60% - Accent6 4" xfId="518" xr:uid="{00000000-0005-0000-0000-000050010000}"/>
    <cellStyle name="60% - Accent6 5" xfId="519" xr:uid="{00000000-0005-0000-0000-000051010000}"/>
    <cellStyle name="60% - Accent6 6" xfId="520" xr:uid="{00000000-0005-0000-0000-000052010000}"/>
    <cellStyle name="60% - Accent6 7" xfId="521" xr:uid="{00000000-0005-0000-0000-000053010000}"/>
    <cellStyle name="60% - Accent6 8" xfId="522" xr:uid="{00000000-0005-0000-0000-000054010000}"/>
    <cellStyle name="60% - Accent6 9" xfId="523" xr:uid="{00000000-0005-0000-0000-000055010000}"/>
    <cellStyle name="Accent1" xfId="109" builtinId="29" customBuiltin="1"/>
    <cellStyle name="Accent1 10" xfId="524" xr:uid="{00000000-0005-0000-0000-000057010000}"/>
    <cellStyle name="Accent1 11" xfId="525" xr:uid="{00000000-0005-0000-0000-000058010000}"/>
    <cellStyle name="Accent1 12" xfId="526" xr:uid="{00000000-0005-0000-0000-000059010000}"/>
    <cellStyle name="Accent1 13" xfId="527" xr:uid="{00000000-0005-0000-0000-00005A010000}"/>
    <cellStyle name="Accent1 14" xfId="528" xr:uid="{00000000-0005-0000-0000-00005B010000}"/>
    <cellStyle name="Accent1 15" xfId="529" xr:uid="{00000000-0005-0000-0000-00005C010000}"/>
    <cellStyle name="Accent1 16" xfId="530" xr:uid="{00000000-0005-0000-0000-00005D010000}"/>
    <cellStyle name="Accent1 17" xfId="531" xr:uid="{00000000-0005-0000-0000-00005E010000}"/>
    <cellStyle name="Accent1 18" xfId="532" xr:uid="{00000000-0005-0000-0000-00005F010000}"/>
    <cellStyle name="Accent1 19" xfId="533" xr:uid="{00000000-0005-0000-0000-000060010000}"/>
    <cellStyle name="Accent1 2" xfId="165" xr:uid="{00000000-0005-0000-0000-000061010000}"/>
    <cellStyle name="Accent1 3" xfId="534" xr:uid="{00000000-0005-0000-0000-000062010000}"/>
    <cellStyle name="Accent1 4" xfId="535" xr:uid="{00000000-0005-0000-0000-000063010000}"/>
    <cellStyle name="Accent1 5" xfId="536" xr:uid="{00000000-0005-0000-0000-000064010000}"/>
    <cellStyle name="Accent1 6" xfId="537" xr:uid="{00000000-0005-0000-0000-000065010000}"/>
    <cellStyle name="Accent1 7" xfId="538" xr:uid="{00000000-0005-0000-0000-000066010000}"/>
    <cellStyle name="Accent1 8" xfId="539" xr:uid="{00000000-0005-0000-0000-000067010000}"/>
    <cellStyle name="Accent1 9" xfId="540" xr:uid="{00000000-0005-0000-0000-000068010000}"/>
    <cellStyle name="Accent2" xfId="113" builtinId="33" customBuiltin="1"/>
    <cellStyle name="Accent2 10" xfId="541" xr:uid="{00000000-0005-0000-0000-00006A010000}"/>
    <cellStyle name="Accent2 11" xfId="542" xr:uid="{00000000-0005-0000-0000-00006B010000}"/>
    <cellStyle name="Accent2 12" xfId="543" xr:uid="{00000000-0005-0000-0000-00006C010000}"/>
    <cellStyle name="Accent2 13" xfId="544" xr:uid="{00000000-0005-0000-0000-00006D010000}"/>
    <cellStyle name="Accent2 14" xfId="545" xr:uid="{00000000-0005-0000-0000-00006E010000}"/>
    <cellStyle name="Accent2 15" xfId="546" xr:uid="{00000000-0005-0000-0000-00006F010000}"/>
    <cellStyle name="Accent2 16" xfId="547" xr:uid="{00000000-0005-0000-0000-000070010000}"/>
    <cellStyle name="Accent2 17" xfId="548" xr:uid="{00000000-0005-0000-0000-000071010000}"/>
    <cellStyle name="Accent2 18" xfId="549" xr:uid="{00000000-0005-0000-0000-000072010000}"/>
    <cellStyle name="Accent2 19" xfId="550" xr:uid="{00000000-0005-0000-0000-000073010000}"/>
    <cellStyle name="Accent2 2" xfId="166" xr:uid="{00000000-0005-0000-0000-000074010000}"/>
    <cellStyle name="Accent2 3" xfId="551" xr:uid="{00000000-0005-0000-0000-000075010000}"/>
    <cellStyle name="Accent2 4" xfId="552" xr:uid="{00000000-0005-0000-0000-000076010000}"/>
    <cellStyle name="Accent2 5" xfId="553" xr:uid="{00000000-0005-0000-0000-000077010000}"/>
    <cellStyle name="Accent2 6" xfId="554" xr:uid="{00000000-0005-0000-0000-000078010000}"/>
    <cellStyle name="Accent2 7" xfId="555" xr:uid="{00000000-0005-0000-0000-000079010000}"/>
    <cellStyle name="Accent2 8" xfId="556" xr:uid="{00000000-0005-0000-0000-00007A010000}"/>
    <cellStyle name="Accent2 9" xfId="557" xr:uid="{00000000-0005-0000-0000-00007B010000}"/>
    <cellStyle name="Accent3" xfId="117" builtinId="37" customBuiltin="1"/>
    <cellStyle name="Accent3 10" xfId="558" xr:uid="{00000000-0005-0000-0000-00007D010000}"/>
    <cellStyle name="Accent3 11" xfId="559" xr:uid="{00000000-0005-0000-0000-00007E010000}"/>
    <cellStyle name="Accent3 12" xfId="560" xr:uid="{00000000-0005-0000-0000-00007F010000}"/>
    <cellStyle name="Accent3 13" xfId="561" xr:uid="{00000000-0005-0000-0000-000080010000}"/>
    <cellStyle name="Accent3 14" xfId="562" xr:uid="{00000000-0005-0000-0000-000081010000}"/>
    <cellStyle name="Accent3 15" xfId="563" xr:uid="{00000000-0005-0000-0000-000082010000}"/>
    <cellStyle name="Accent3 16" xfId="564" xr:uid="{00000000-0005-0000-0000-000083010000}"/>
    <cellStyle name="Accent3 17" xfId="565" xr:uid="{00000000-0005-0000-0000-000084010000}"/>
    <cellStyle name="Accent3 18" xfId="566" xr:uid="{00000000-0005-0000-0000-000085010000}"/>
    <cellStyle name="Accent3 19" xfId="567" xr:uid="{00000000-0005-0000-0000-000086010000}"/>
    <cellStyle name="Accent3 2" xfId="167" xr:uid="{00000000-0005-0000-0000-000087010000}"/>
    <cellStyle name="Accent3 3" xfId="568" xr:uid="{00000000-0005-0000-0000-000088010000}"/>
    <cellStyle name="Accent3 4" xfId="569" xr:uid="{00000000-0005-0000-0000-000089010000}"/>
    <cellStyle name="Accent3 5" xfId="570" xr:uid="{00000000-0005-0000-0000-00008A010000}"/>
    <cellStyle name="Accent3 6" xfId="571" xr:uid="{00000000-0005-0000-0000-00008B010000}"/>
    <cellStyle name="Accent3 7" xfId="572" xr:uid="{00000000-0005-0000-0000-00008C010000}"/>
    <cellStyle name="Accent3 8" xfId="573" xr:uid="{00000000-0005-0000-0000-00008D010000}"/>
    <cellStyle name="Accent3 9" xfId="574" xr:uid="{00000000-0005-0000-0000-00008E010000}"/>
    <cellStyle name="Accent4" xfId="121" builtinId="41" customBuiltin="1"/>
    <cellStyle name="Accent4 10" xfId="575" xr:uid="{00000000-0005-0000-0000-000090010000}"/>
    <cellStyle name="Accent4 11" xfId="576" xr:uid="{00000000-0005-0000-0000-000091010000}"/>
    <cellStyle name="Accent4 12" xfId="577" xr:uid="{00000000-0005-0000-0000-000092010000}"/>
    <cellStyle name="Accent4 13" xfId="578" xr:uid="{00000000-0005-0000-0000-000093010000}"/>
    <cellStyle name="Accent4 14" xfId="579" xr:uid="{00000000-0005-0000-0000-000094010000}"/>
    <cellStyle name="Accent4 15" xfId="580" xr:uid="{00000000-0005-0000-0000-000095010000}"/>
    <cellStyle name="Accent4 16" xfId="581" xr:uid="{00000000-0005-0000-0000-000096010000}"/>
    <cellStyle name="Accent4 17" xfId="582" xr:uid="{00000000-0005-0000-0000-000097010000}"/>
    <cellStyle name="Accent4 18" xfId="583" xr:uid="{00000000-0005-0000-0000-000098010000}"/>
    <cellStyle name="Accent4 19" xfId="584" xr:uid="{00000000-0005-0000-0000-000099010000}"/>
    <cellStyle name="Accent4 2" xfId="168" xr:uid="{00000000-0005-0000-0000-00009A010000}"/>
    <cellStyle name="Accent4 3" xfId="585" xr:uid="{00000000-0005-0000-0000-00009B010000}"/>
    <cellStyle name="Accent4 4" xfId="586" xr:uid="{00000000-0005-0000-0000-00009C010000}"/>
    <cellStyle name="Accent4 5" xfId="587" xr:uid="{00000000-0005-0000-0000-00009D010000}"/>
    <cellStyle name="Accent4 6" xfId="588" xr:uid="{00000000-0005-0000-0000-00009E010000}"/>
    <cellStyle name="Accent4 7" xfId="589" xr:uid="{00000000-0005-0000-0000-00009F010000}"/>
    <cellStyle name="Accent4 8" xfId="590" xr:uid="{00000000-0005-0000-0000-0000A0010000}"/>
    <cellStyle name="Accent4 9" xfId="591" xr:uid="{00000000-0005-0000-0000-0000A1010000}"/>
    <cellStyle name="Accent5" xfId="125" builtinId="45" customBuiltin="1"/>
    <cellStyle name="Accent5 10" xfId="592" xr:uid="{00000000-0005-0000-0000-0000A3010000}"/>
    <cellStyle name="Accent5 11" xfId="593" xr:uid="{00000000-0005-0000-0000-0000A4010000}"/>
    <cellStyle name="Accent5 12" xfId="594" xr:uid="{00000000-0005-0000-0000-0000A5010000}"/>
    <cellStyle name="Accent5 13" xfId="595" xr:uid="{00000000-0005-0000-0000-0000A6010000}"/>
    <cellStyle name="Accent5 14" xfId="596" xr:uid="{00000000-0005-0000-0000-0000A7010000}"/>
    <cellStyle name="Accent5 15" xfId="597" xr:uid="{00000000-0005-0000-0000-0000A8010000}"/>
    <cellStyle name="Accent5 16" xfId="598" xr:uid="{00000000-0005-0000-0000-0000A9010000}"/>
    <cellStyle name="Accent5 17" xfId="599" xr:uid="{00000000-0005-0000-0000-0000AA010000}"/>
    <cellStyle name="Accent5 18" xfId="600" xr:uid="{00000000-0005-0000-0000-0000AB010000}"/>
    <cellStyle name="Accent5 19" xfId="601" xr:uid="{00000000-0005-0000-0000-0000AC010000}"/>
    <cellStyle name="Accent5 2" xfId="169" xr:uid="{00000000-0005-0000-0000-0000AD010000}"/>
    <cellStyle name="Accent5 3" xfId="602" xr:uid="{00000000-0005-0000-0000-0000AE010000}"/>
    <cellStyle name="Accent5 4" xfId="603" xr:uid="{00000000-0005-0000-0000-0000AF010000}"/>
    <cellStyle name="Accent5 5" xfId="604" xr:uid="{00000000-0005-0000-0000-0000B0010000}"/>
    <cellStyle name="Accent5 6" xfId="605" xr:uid="{00000000-0005-0000-0000-0000B1010000}"/>
    <cellStyle name="Accent5 7" xfId="606" xr:uid="{00000000-0005-0000-0000-0000B2010000}"/>
    <cellStyle name="Accent5 8" xfId="607" xr:uid="{00000000-0005-0000-0000-0000B3010000}"/>
    <cellStyle name="Accent5 9" xfId="608" xr:uid="{00000000-0005-0000-0000-0000B4010000}"/>
    <cellStyle name="Accent6" xfId="129" builtinId="49" customBuiltin="1"/>
    <cellStyle name="Accent6 10" xfId="609" xr:uid="{00000000-0005-0000-0000-0000B6010000}"/>
    <cellStyle name="Accent6 11" xfId="610" xr:uid="{00000000-0005-0000-0000-0000B7010000}"/>
    <cellStyle name="Accent6 12" xfId="611" xr:uid="{00000000-0005-0000-0000-0000B8010000}"/>
    <cellStyle name="Accent6 13" xfId="612" xr:uid="{00000000-0005-0000-0000-0000B9010000}"/>
    <cellStyle name="Accent6 14" xfId="613" xr:uid="{00000000-0005-0000-0000-0000BA010000}"/>
    <cellStyle name="Accent6 15" xfId="614" xr:uid="{00000000-0005-0000-0000-0000BB010000}"/>
    <cellStyle name="Accent6 16" xfId="615" xr:uid="{00000000-0005-0000-0000-0000BC010000}"/>
    <cellStyle name="Accent6 17" xfId="616" xr:uid="{00000000-0005-0000-0000-0000BD010000}"/>
    <cellStyle name="Accent6 18" xfId="617" xr:uid="{00000000-0005-0000-0000-0000BE010000}"/>
    <cellStyle name="Accent6 19" xfId="618" xr:uid="{00000000-0005-0000-0000-0000BF010000}"/>
    <cellStyle name="Accent6 2" xfId="170" xr:uid="{00000000-0005-0000-0000-0000C0010000}"/>
    <cellStyle name="Accent6 3" xfId="619" xr:uid="{00000000-0005-0000-0000-0000C1010000}"/>
    <cellStyle name="Accent6 4" xfId="620" xr:uid="{00000000-0005-0000-0000-0000C2010000}"/>
    <cellStyle name="Accent6 5" xfId="621" xr:uid="{00000000-0005-0000-0000-0000C3010000}"/>
    <cellStyle name="Accent6 6" xfId="622" xr:uid="{00000000-0005-0000-0000-0000C4010000}"/>
    <cellStyle name="Accent6 7" xfId="623" xr:uid="{00000000-0005-0000-0000-0000C5010000}"/>
    <cellStyle name="Accent6 8" xfId="624" xr:uid="{00000000-0005-0000-0000-0000C6010000}"/>
    <cellStyle name="Accent6 9" xfId="625" xr:uid="{00000000-0005-0000-0000-0000C7010000}"/>
    <cellStyle name="Bad" xfId="100" builtinId="27" customBuiltin="1"/>
    <cellStyle name="Bad 10" xfId="626" xr:uid="{00000000-0005-0000-0000-0000C9010000}"/>
    <cellStyle name="Bad 11" xfId="627" xr:uid="{00000000-0005-0000-0000-0000CA010000}"/>
    <cellStyle name="Bad 12" xfId="628" xr:uid="{00000000-0005-0000-0000-0000CB010000}"/>
    <cellStyle name="Bad 13" xfId="629" xr:uid="{00000000-0005-0000-0000-0000CC010000}"/>
    <cellStyle name="Bad 14" xfId="630" xr:uid="{00000000-0005-0000-0000-0000CD010000}"/>
    <cellStyle name="Bad 15" xfId="631" xr:uid="{00000000-0005-0000-0000-0000CE010000}"/>
    <cellStyle name="Bad 16" xfId="632" xr:uid="{00000000-0005-0000-0000-0000CF010000}"/>
    <cellStyle name="Bad 17" xfId="633" xr:uid="{00000000-0005-0000-0000-0000D0010000}"/>
    <cellStyle name="Bad 18" xfId="634" xr:uid="{00000000-0005-0000-0000-0000D1010000}"/>
    <cellStyle name="Bad 19" xfId="635" xr:uid="{00000000-0005-0000-0000-0000D2010000}"/>
    <cellStyle name="Bad 2" xfId="171" xr:uid="{00000000-0005-0000-0000-0000D3010000}"/>
    <cellStyle name="Bad 20" xfId="1111" xr:uid="{00000000-0005-0000-0000-0000D4010000}"/>
    <cellStyle name="Bad 3" xfId="636" xr:uid="{00000000-0005-0000-0000-0000D5010000}"/>
    <cellStyle name="Bad 4" xfId="637" xr:uid="{00000000-0005-0000-0000-0000D6010000}"/>
    <cellStyle name="Bad 5" xfId="638" xr:uid="{00000000-0005-0000-0000-0000D7010000}"/>
    <cellStyle name="Bad 6" xfId="639" xr:uid="{00000000-0005-0000-0000-0000D8010000}"/>
    <cellStyle name="Bad 7" xfId="640" xr:uid="{00000000-0005-0000-0000-0000D9010000}"/>
    <cellStyle name="Bad 8" xfId="641" xr:uid="{00000000-0005-0000-0000-0000DA010000}"/>
    <cellStyle name="Bad 9" xfId="642" xr:uid="{00000000-0005-0000-0000-0000DB010000}"/>
    <cellStyle name="Calculation" xfId="104" builtinId="22" customBuiltin="1"/>
    <cellStyle name="Calculation 10" xfId="643" xr:uid="{00000000-0005-0000-0000-0000DD010000}"/>
    <cellStyle name="Calculation 10 2" xfId="1139" xr:uid="{00000000-0005-0000-0000-0000DE010000}"/>
    <cellStyle name="Calculation 10 2 10" xfId="1473" xr:uid="{00000000-0005-0000-0000-0000DF010000}"/>
    <cellStyle name="Calculation 10 2 10 2" xfId="2958" xr:uid="{00000000-0005-0000-0000-0000E0010000}"/>
    <cellStyle name="Calculation 10 2 10 2 2" xfId="6535" xr:uid="{00000000-0005-0000-0000-0000E1010000}"/>
    <cellStyle name="Calculation 10 2 10 2 3" xfId="8536" xr:uid="{00000000-0005-0000-0000-0000E2010000}"/>
    <cellStyle name="Calculation 10 2 10 2 4" xfId="9859" xr:uid="{00000000-0005-0000-0000-0000E3010000}"/>
    <cellStyle name="Calculation 10 2 10 3" xfId="5070" xr:uid="{00000000-0005-0000-0000-0000E4010000}"/>
    <cellStyle name="Calculation 10 2 10 4" xfId="7920" xr:uid="{00000000-0005-0000-0000-0000E5010000}"/>
    <cellStyle name="Calculation 10 2 10 5" xfId="10940" xr:uid="{00000000-0005-0000-0000-0000E6010000}"/>
    <cellStyle name="Calculation 10 2 11" xfId="1382" xr:uid="{00000000-0005-0000-0000-0000E7010000}"/>
    <cellStyle name="Calculation 10 2 11 2" xfId="2878" xr:uid="{00000000-0005-0000-0000-0000E8010000}"/>
    <cellStyle name="Calculation 10 2 11 2 2" xfId="6457" xr:uid="{00000000-0005-0000-0000-0000E9010000}"/>
    <cellStyle name="Calculation 10 2 11 2 3" xfId="8458" xr:uid="{00000000-0005-0000-0000-0000EA010000}"/>
    <cellStyle name="Calculation 10 2 11 2 4" xfId="9783" xr:uid="{00000000-0005-0000-0000-0000EB010000}"/>
    <cellStyle name="Calculation 10 2 11 3" xfId="4980" xr:uid="{00000000-0005-0000-0000-0000EC010000}"/>
    <cellStyle name="Calculation 10 2 11 4" xfId="8106" xr:uid="{00000000-0005-0000-0000-0000ED010000}"/>
    <cellStyle name="Calculation 10 2 11 5" xfId="10865" xr:uid="{00000000-0005-0000-0000-0000EE010000}"/>
    <cellStyle name="Calculation 10 2 12" xfId="2665" xr:uid="{00000000-0005-0000-0000-0000EF010000}"/>
    <cellStyle name="Calculation 10 2 12 2" xfId="6249" xr:uid="{00000000-0005-0000-0000-0000F0010000}"/>
    <cellStyle name="Calculation 10 2 12 3" xfId="8262" xr:uid="{00000000-0005-0000-0000-0000F1010000}"/>
    <cellStyle name="Calculation 10 2 12 4" xfId="9602" xr:uid="{00000000-0005-0000-0000-0000F2010000}"/>
    <cellStyle name="Calculation 10 2 13" xfId="4738" xr:uid="{00000000-0005-0000-0000-0000F3010000}"/>
    <cellStyle name="Calculation 10 2 14" xfId="4214" xr:uid="{00000000-0005-0000-0000-0000F4010000}"/>
    <cellStyle name="Calculation 10 2 15" xfId="8119" xr:uid="{00000000-0005-0000-0000-0000F5010000}"/>
    <cellStyle name="Calculation 10 2 2" xfId="1692" xr:uid="{00000000-0005-0000-0000-0000F6010000}"/>
    <cellStyle name="Calculation 10 2 2 2" xfId="3170" xr:uid="{00000000-0005-0000-0000-0000F7010000}"/>
    <cellStyle name="Calculation 10 2 2 2 2" xfId="6744" xr:uid="{00000000-0005-0000-0000-0000F8010000}"/>
    <cellStyle name="Calculation 10 2 2 2 3" xfId="8721" xr:uid="{00000000-0005-0000-0000-0000F9010000}"/>
    <cellStyle name="Calculation 10 2 2 2 4" xfId="10025" xr:uid="{00000000-0005-0000-0000-0000FA010000}"/>
    <cellStyle name="Calculation 10 2 2 3" xfId="5284" xr:uid="{00000000-0005-0000-0000-0000FB010000}"/>
    <cellStyle name="Calculation 10 2 2 4" xfId="4374" xr:uid="{00000000-0005-0000-0000-0000FC010000}"/>
    <cellStyle name="Calculation 10 2 2 5" xfId="11102" xr:uid="{00000000-0005-0000-0000-0000FD010000}"/>
    <cellStyle name="Calculation 10 2 3" xfId="1859" xr:uid="{00000000-0005-0000-0000-0000FE010000}"/>
    <cellStyle name="Calculation 10 2 3 2" xfId="3330" xr:uid="{00000000-0005-0000-0000-0000FF010000}"/>
    <cellStyle name="Calculation 10 2 3 2 2" xfId="6900" xr:uid="{00000000-0005-0000-0000-000000020000}"/>
    <cellStyle name="Calculation 10 2 3 2 3" xfId="8868" xr:uid="{00000000-0005-0000-0000-000001020000}"/>
    <cellStyle name="Calculation 10 2 3 2 4" xfId="10158" xr:uid="{00000000-0005-0000-0000-000002020000}"/>
    <cellStyle name="Calculation 10 2 3 3" xfId="5447" xr:uid="{00000000-0005-0000-0000-000003020000}"/>
    <cellStyle name="Calculation 10 2 3 4" xfId="4433" xr:uid="{00000000-0005-0000-0000-000004020000}"/>
    <cellStyle name="Calculation 10 2 3 5" xfId="11236" xr:uid="{00000000-0005-0000-0000-000005020000}"/>
    <cellStyle name="Calculation 10 2 4" xfId="1285" xr:uid="{00000000-0005-0000-0000-000006020000}"/>
    <cellStyle name="Calculation 10 2 4 2" xfId="2785" xr:uid="{00000000-0005-0000-0000-000007020000}"/>
    <cellStyle name="Calculation 10 2 4 2 2" xfId="6364" xr:uid="{00000000-0005-0000-0000-000008020000}"/>
    <cellStyle name="Calculation 10 2 4 2 3" xfId="8371" xr:uid="{00000000-0005-0000-0000-000009020000}"/>
    <cellStyle name="Calculation 10 2 4 2 4" xfId="9696" xr:uid="{00000000-0005-0000-0000-00000A020000}"/>
    <cellStyle name="Calculation 10 2 4 3" xfId="4883" xr:uid="{00000000-0005-0000-0000-00000B020000}"/>
    <cellStyle name="Calculation 10 2 4 4" xfId="7694" xr:uid="{00000000-0005-0000-0000-00000C020000}"/>
    <cellStyle name="Calculation 10 2 4 5" xfId="4252" xr:uid="{00000000-0005-0000-0000-00000D020000}"/>
    <cellStyle name="Calculation 10 2 5" xfId="1319" xr:uid="{00000000-0005-0000-0000-00000E020000}"/>
    <cellStyle name="Calculation 10 2 5 2" xfId="2819" xr:uid="{00000000-0005-0000-0000-00000F020000}"/>
    <cellStyle name="Calculation 10 2 5 2 2" xfId="6398" xr:uid="{00000000-0005-0000-0000-000010020000}"/>
    <cellStyle name="Calculation 10 2 5 2 3" xfId="8401" xr:uid="{00000000-0005-0000-0000-000011020000}"/>
    <cellStyle name="Calculation 10 2 5 2 4" xfId="9724" xr:uid="{00000000-0005-0000-0000-000012020000}"/>
    <cellStyle name="Calculation 10 2 5 3" xfId="4917" xr:uid="{00000000-0005-0000-0000-000013020000}"/>
    <cellStyle name="Calculation 10 2 5 4" xfId="7816" xr:uid="{00000000-0005-0000-0000-000014020000}"/>
    <cellStyle name="Calculation 10 2 5 5" xfId="8817" xr:uid="{00000000-0005-0000-0000-000015020000}"/>
    <cellStyle name="Calculation 10 2 6" xfId="1479" xr:uid="{00000000-0005-0000-0000-000016020000}"/>
    <cellStyle name="Calculation 10 2 6 2" xfId="2964" xr:uid="{00000000-0005-0000-0000-000017020000}"/>
    <cellStyle name="Calculation 10 2 6 2 2" xfId="6541" xr:uid="{00000000-0005-0000-0000-000018020000}"/>
    <cellStyle name="Calculation 10 2 6 2 3" xfId="8542" xr:uid="{00000000-0005-0000-0000-000019020000}"/>
    <cellStyle name="Calculation 10 2 6 2 4" xfId="9865" xr:uid="{00000000-0005-0000-0000-00001A020000}"/>
    <cellStyle name="Calculation 10 2 6 3" xfId="5076" xr:uid="{00000000-0005-0000-0000-00001B020000}"/>
    <cellStyle name="Calculation 10 2 6 4" xfId="7731" xr:uid="{00000000-0005-0000-0000-00001C020000}"/>
    <cellStyle name="Calculation 10 2 6 5" xfId="10946" xr:uid="{00000000-0005-0000-0000-00001D020000}"/>
    <cellStyle name="Calculation 10 2 7" xfId="1340" xr:uid="{00000000-0005-0000-0000-00001E020000}"/>
    <cellStyle name="Calculation 10 2 7 2" xfId="2838" xr:uid="{00000000-0005-0000-0000-00001F020000}"/>
    <cellStyle name="Calculation 10 2 7 2 2" xfId="6417" xr:uid="{00000000-0005-0000-0000-000020020000}"/>
    <cellStyle name="Calculation 10 2 7 2 3" xfId="8418" xr:uid="{00000000-0005-0000-0000-000021020000}"/>
    <cellStyle name="Calculation 10 2 7 2 4" xfId="9743" xr:uid="{00000000-0005-0000-0000-000022020000}"/>
    <cellStyle name="Calculation 10 2 7 3" xfId="4938" xr:uid="{00000000-0005-0000-0000-000023020000}"/>
    <cellStyle name="Calculation 10 2 7 4" xfId="7989" xr:uid="{00000000-0005-0000-0000-000024020000}"/>
    <cellStyle name="Calculation 10 2 7 5" xfId="8252" xr:uid="{00000000-0005-0000-0000-000025020000}"/>
    <cellStyle name="Calculation 10 2 8" xfId="2247" xr:uid="{00000000-0005-0000-0000-000026020000}"/>
    <cellStyle name="Calculation 10 2 8 2" xfId="3704" xr:uid="{00000000-0005-0000-0000-000027020000}"/>
    <cellStyle name="Calculation 10 2 8 2 2" xfId="7274" xr:uid="{00000000-0005-0000-0000-000028020000}"/>
    <cellStyle name="Calculation 10 2 8 2 3" xfId="9239" xr:uid="{00000000-0005-0000-0000-000029020000}"/>
    <cellStyle name="Calculation 10 2 8 2 4" xfId="10531" xr:uid="{00000000-0005-0000-0000-00002A020000}"/>
    <cellStyle name="Calculation 10 2 8 3" xfId="5835" xr:uid="{00000000-0005-0000-0000-00002B020000}"/>
    <cellStyle name="Calculation 10 2 8 4" xfId="4540" xr:uid="{00000000-0005-0000-0000-00002C020000}"/>
    <cellStyle name="Calculation 10 2 8 5" xfId="11613" xr:uid="{00000000-0005-0000-0000-00002D020000}"/>
    <cellStyle name="Calculation 10 2 9" xfId="2339" xr:uid="{00000000-0005-0000-0000-00002E020000}"/>
    <cellStyle name="Calculation 10 2 9 2" xfId="3795" xr:uid="{00000000-0005-0000-0000-00002F020000}"/>
    <cellStyle name="Calculation 10 2 9 2 2" xfId="7365" xr:uid="{00000000-0005-0000-0000-000030020000}"/>
    <cellStyle name="Calculation 10 2 9 2 3" xfId="9328" xr:uid="{00000000-0005-0000-0000-000031020000}"/>
    <cellStyle name="Calculation 10 2 9 2 4" xfId="10622" xr:uid="{00000000-0005-0000-0000-000032020000}"/>
    <cellStyle name="Calculation 10 2 9 3" xfId="5927" xr:uid="{00000000-0005-0000-0000-000033020000}"/>
    <cellStyle name="Calculation 10 2 9 4" xfId="4810" xr:uid="{00000000-0005-0000-0000-000034020000}"/>
    <cellStyle name="Calculation 10 2 9 5" xfId="11704" xr:uid="{00000000-0005-0000-0000-000035020000}"/>
    <cellStyle name="Calculation 10 3" xfId="1419" xr:uid="{00000000-0005-0000-0000-000036020000}"/>
    <cellStyle name="Calculation 10 3 2" xfId="2906" xr:uid="{00000000-0005-0000-0000-000037020000}"/>
    <cellStyle name="Calculation 10 3 2 2" xfId="6484" xr:uid="{00000000-0005-0000-0000-000038020000}"/>
    <cellStyle name="Calculation 10 3 2 3" xfId="8486" xr:uid="{00000000-0005-0000-0000-000039020000}"/>
    <cellStyle name="Calculation 10 3 2 4" xfId="9809" xr:uid="{00000000-0005-0000-0000-00003A020000}"/>
    <cellStyle name="Calculation 10 3 3" xfId="5017" xr:uid="{00000000-0005-0000-0000-00003B020000}"/>
    <cellStyle name="Calculation 10 3 4" xfId="6717" xr:uid="{00000000-0005-0000-0000-00003C020000}"/>
    <cellStyle name="Calculation 10 3 5" xfId="10891" xr:uid="{00000000-0005-0000-0000-00003D020000}"/>
    <cellStyle name="Calculation 10 4" xfId="1854" xr:uid="{00000000-0005-0000-0000-00003E020000}"/>
    <cellStyle name="Calculation 10 4 2" xfId="3326" xr:uid="{00000000-0005-0000-0000-00003F020000}"/>
    <cellStyle name="Calculation 10 4 2 2" xfId="6896" xr:uid="{00000000-0005-0000-0000-000040020000}"/>
    <cellStyle name="Calculation 10 4 2 3" xfId="8864" xr:uid="{00000000-0005-0000-0000-000041020000}"/>
    <cellStyle name="Calculation 10 4 2 4" xfId="10155" xr:uid="{00000000-0005-0000-0000-000042020000}"/>
    <cellStyle name="Calculation 10 4 3" xfId="5443" xr:uid="{00000000-0005-0000-0000-000043020000}"/>
    <cellStyle name="Calculation 10 4 4" xfId="864" xr:uid="{00000000-0005-0000-0000-000044020000}"/>
    <cellStyle name="Calculation 10 4 5" xfId="11233" xr:uid="{00000000-0005-0000-0000-000045020000}"/>
    <cellStyle name="Calculation 10 5" xfId="1991" xr:uid="{00000000-0005-0000-0000-000046020000}"/>
    <cellStyle name="Calculation 10 5 2" xfId="3454" xr:uid="{00000000-0005-0000-0000-000047020000}"/>
    <cellStyle name="Calculation 10 5 2 2" xfId="7024" xr:uid="{00000000-0005-0000-0000-000048020000}"/>
    <cellStyle name="Calculation 10 5 2 3" xfId="8990" xr:uid="{00000000-0005-0000-0000-000049020000}"/>
    <cellStyle name="Calculation 10 5 2 4" xfId="10281" xr:uid="{00000000-0005-0000-0000-00004A020000}"/>
    <cellStyle name="Calculation 10 5 3" xfId="5579" xr:uid="{00000000-0005-0000-0000-00004B020000}"/>
    <cellStyle name="Calculation 10 5 4" xfId="7887" xr:uid="{00000000-0005-0000-0000-00004C020000}"/>
    <cellStyle name="Calculation 10 5 5" xfId="11359" xr:uid="{00000000-0005-0000-0000-00004D020000}"/>
    <cellStyle name="Calculation 10 6" xfId="2556" xr:uid="{00000000-0005-0000-0000-00004E020000}"/>
    <cellStyle name="Calculation 10 6 2" xfId="6144" xr:uid="{00000000-0005-0000-0000-00004F020000}"/>
    <cellStyle name="Calculation 10 6 3" xfId="8170" xr:uid="{00000000-0005-0000-0000-000050020000}"/>
    <cellStyle name="Calculation 10 6 4" xfId="6688" xr:uid="{00000000-0005-0000-0000-000051020000}"/>
    <cellStyle name="Calculation 10 7" xfId="4299" xr:uid="{00000000-0005-0000-0000-000052020000}"/>
    <cellStyle name="Calculation 10 8" xfId="4453" xr:uid="{00000000-0005-0000-0000-000053020000}"/>
    <cellStyle name="Calculation 10 9" xfId="8055" xr:uid="{00000000-0005-0000-0000-000054020000}"/>
    <cellStyle name="Calculation 11" xfId="644" xr:uid="{00000000-0005-0000-0000-000055020000}"/>
    <cellStyle name="Calculation 11 2" xfId="1140" xr:uid="{00000000-0005-0000-0000-000056020000}"/>
    <cellStyle name="Calculation 11 2 10" xfId="1833" xr:uid="{00000000-0005-0000-0000-000057020000}"/>
    <cellStyle name="Calculation 11 2 10 2" xfId="3310" xr:uid="{00000000-0005-0000-0000-000058020000}"/>
    <cellStyle name="Calculation 11 2 10 2 2" xfId="6880" xr:uid="{00000000-0005-0000-0000-000059020000}"/>
    <cellStyle name="Calculation 11 2 10 2 3" xfId="8848" xr:uid="{00000000-0005-0000-0000-00005A020000}"/>
    <cellStyle name="Calculation 11 2 10 2 4" xfId="10140" xr:uid="{00000000-0005-0000-0000-00005B020000}"/>
    <cellStyle name="Calculation 11 2 10 3" xfId="5422" xr:uid="{00000000-0005-0000-0000-00005C020000}"/>
    <cellStyle name="Calculation 11 2 10 4" xfId="4658" xr:uid="{00000000-0005-0000-0000-00005D020000}"/>
    <cellStyle name="Calculation 11 2 10 5" xfId="11217" xr:uid="{00000000-0005-0000-0000-00005E020000}"/>
    <cellStyle name="Calculation 11 2 11" xfId="1381" xr:uid="{00000000-0005-0000-0000-00005F020000}"/>
    <cellStyle name="Calculation 11 2 11 2" xfId="2877" xr:uid="{00000000-0005-0000-0000-000060020000}"/>
    <cellStyle name="Calculation 11 2 11 2 2" xfId="6456" xr:uid="{00000000-0005-0000-0000-000061020000}"/>
    <cellStyle name="Calculation 11 2 11 2 3" xfId="8457" xr:uid="{00000000-0005-0000-0000-000062020000}"/>
    <cellStyle name="Calculation 11 2 11 2 4" xfId="9782" xr:uid="{00000000-0005-0000-0000-000063020000}"/>
    <cellStyle name="Calculation 11 2 11 3" xfId="4979" xr:uid="{00000000-0005-0000-0000-000064020000}"/>
    <cellStyle name="Calculation 11 2 11 4" xfId="9419" xr:uid="{00000000-0005-0000-0000-000065020000}"/>
    <cellStyle name="Calculation 11 2 11 5" xfId="10864" xr:uid="{00000000-0005-0000-0000-000066020000}"/>
    <cellStyle name="Calculation 11 2 12" xfId="2666" xr:uid="{00000000-0005-0000-0000-000067020000}"/>
    <cellStyle name="Calculation 11 2 12 2" xfId="6250" xr:uid="{00000000-0005-0000-0000-000068020000}"/>
    <cellStyle name="Calculation 11 2 12 3" xfId="8263" xr:uid="{00000000-0005-0000-0000-000069020000}"/>
    <cellStyle name="Calculation 11 2 12 4" xfId="9603" xr:uid="{00000000-0005-0000-0000-00006A020000}"/>
    <cellStyle name="Calculation 11 2 13" xfId="4739" xr:uid="{00000000-0005-0000-0000-00006B020000}"/>
    <cellStyle name="Calculation 11 2 14" xfId="4213" xr:uid="{00000000-0005-0000-0000-00006C020000}"/>
    <cellStyle name="Calculation 11 2 15" xfId="4102" xr:uid="{00000000-0005-0000-0000-00006D020000}"/>
    <cellStyle name="Calculation 11 2 2" xfId="1693" xr:uid="{00000000-0005-0000-0000-00006E020000}"/>
    <cellStyle name="Calculation 11 2 2 2" xfId="3171" xr:uid="{00000000-0005-0000-0000-00006F020000}"/>
    <cellStyle name="Calculation 11 2 2 2 2" xfId="6745" xr:uid="{00000000-0005-0000-0000-000070020000}"/>
    <cellStyle name="Calculation 11 2 2 2 3" xfId="8722" xr:uid="{00000000-0005-0000-0000-000071020000}"/>
    <cellStyle name="Calculation 11 2 2 2 4" xfId="10026" xr:uid="{00000000-0005-0000-0000-000072020000}"/>
    <cellStyle name="Calculation 11 2 2 3" xfId="5285" xr:uid="{00000000-0005-0000-0000-000073020000}"/>
    <cellStyle name="Calculation 11 2 2 4" xfId="4375" xr:uid="{00000000-0005-0000-0000-000074020000}"/>
    <cellStyle name="Calculation 11 2 2 5" xfId="11103" xr:uid="{00000000-0005-0000-0000-000075020000}"/>
    <cellStyle name="Calculation 11 2 3" xfId="1860" xr:uid="{00000000-0005-0000-0000-000076020000}"/>
    <cellStyle name="Calculation 11 2 3 2" xfId="3331" xr:uid="{00000000-0005-0000-0000-000077020000}"/>
    <cellStyle name="Calculation 11 2 3 2 2" xfId="6901" xr:uid="{00000000-0005-0000-0000-000078020000}"/>
    <cellStyle name="Calculation 11 2 3 2 3" xfId="8869" xr:uid="{00000000-0005-0000-0000-000079020000}"/>
    <cellStyle name="Calculation 11 2 3 2 4" xfId="10159" xr:uid="{00000000-0005-0000-0000-00007A020000}"/>
    <cellStyle name="Calculation 11 2 3 3" xfId="5448" xr:uid="{00000000-0005-0000-0000-00007B020000}"/>
    <cellStyle name="Calculation 11 2 3 4" xfId="4434" xr:uid="{00000000-0005-0000-0000-00007C020000}"/>
    <cellStyle name="Calculation 11 2 3 5" xfId="11237" xr:uid="{00000000-0005-0000-0000-00007D020000}"/>
    <cellStyle name="Calculation 11 2 4" xfId="1675" xr:uid="{00000000-0005-0000-0000-00007E020000}"/>
    <cellStyle name="Calculation 11 2 4 2" xfId="3153" xr:uid="{00000000-0005-0000-0000-00007F020000}"/>
    <cellStyle name="Calculation 11 2 4 2 2" xfId="6727" xr:uid="{00000000-0005-0000-0000-000080020000}"/>
    <cellStyle name="Calculation 11 2 4 2 3" xfId="8709" xr:uid="{00000000-0005-0000-0000-000081020000}"/>
    <cellStyle name="Calculation 11 2 4 2 4" xfId="10014" xr:uid="{00000000-0005-0000-0000-000082020000}"/>
    <cellStyle name="Calculation 11 2 4 3" xfId="5267" xr:uid="{00000000-0005-0000-0000-000083020000}"/>
    <cellStyle name="Calculation 11 2 4 4" xfId="4364" xr:uid="{00000000-0005-0000-0000-000084020000}"/>
    <cellStyle name="Calculation 11 2 4 5" xfId="11091" xr:uid="{00000000-0005-0000-0000-000085020000}"/>
    <cellStyle name="Calculation 11 2 5" xfId="1318" xr:uid="{00000000-0005-0000-0000-000086020000}"/>
    <cellStyle name="Calculation 11 2 5 2" xfId="2818" xr:uid="{00000000-0005-0000-0000-000087020000}"/>
    <cellStyle name="Calculation 11 2 5 2 2" xfId="6397" xr:uid="{00000000-0005-0000-0000-000088020000}"/>
    <cellStyle name="Calculation 11 2 5 2 3" xfId="8400" xr:uid="{00000000-0005-0000-0000-000089020000}"/>
    <cellStyle name="Calculation 11 2 5 2 4" xfId="9723" xr:uid="{00000000-0005-0000-0000-00008A020000}"/>
    <cellStyle name="Calculation 11 2 5 3" xfId="4916" xr:uid="{00000000-0005-0000-0000-00008B020000}"/>
    <cellStyle name="Calculation 11 2 5 4" xfId="7913" xr:uid="{00000000-0005-0000-0000-00008C020000}"/>
    <cellStyle name="Calculation 11 2 5 5" xfId="7832" xr:uid="{00000000-0005-0000-0000-00008D020000}"/>
    <cellStyle name="Calculation 11 2 6" xfId="1480" xr:uid="{00000000-0005-0000-0000-00008E020000}"/>
    <cellStyle name="Calculation 11 2 6 2" xfId="2965" xr:uid="{00000000-0005-0000-0000-00008F020000}"/>
    <cellStyle name="Calculation 11 2 6 2 2" xfId="6542" xr:uid="{00000000-0005-0000-0000-000090020000}"/>
    <cellStyle name="Calculation 11 2 6 2 3" xfId="8543" xr:uid="{00000000-0005-0000-0000-000091020000}"/>
    <cellStyle name="Calculation 11 2 6 2 4" xfId="9866" xr:uid="{00000000-0005-0000-0000-000092020000}"/>
    <cellStyle name="Calculation 11 2 6 3" xfId="5077" xr:uid="{00000000-0005-0000-0000-000093020000}"/>
    <cellStyle name="Calculation 11 2 6 4" xfId="8892" xr:uid="{00000000-0005-0000-0000-000094020000}"/>
    <cellStyle name="Calculation 11 2 6 5" xfId="10947" xr:uid="{00000000-0005-0000-0000-000095020000}"/>
    <cellStyle name="Calculation 11 2 7" xfId="1339" xr:uid="{00000000-0005-0000-0000-000096020000}"/>
    <cellStyle name="Calculation 11 2 7 2" xfId="2837" xr:uid="{00000000-0005-0000-0000-000097020000}"/>
    <cellStyle name="Calculation 11 2 7 2 2" xfId="6416" xr:uid="{00000000-0005-0000-0000-000098020000}"/>
    <cellStyle name="Calculation 11 2 7 2 3" xfId="8417" xr:uid="{00000000-0005-0000-0000-000099020000}"/>
    <cellStyle name="Calculation 11 2 7 2 4" xfId="9742" xr:uid="{00000000-0005-0000-0000-00009A020000}"/>
    <cellStyle name="Calculation 11 2 7 3" xfId="4937" xr:uid="{00000000-0005-0000-0000-00009B020000}"/>
    <cellStyle name="Calculation 11 2 7 4" xfId="8042" xr:uid="{00000000-0005-0000-0000-00009C020000}"/>
    <cellStyle name="Calculation 11 2 7 5" xfId="8702" xr:uid="{00000000-0005-0000-0000-00009D020000}"/>
    <cellStyle name="Calculation 11 2 8" xfId="2248" xr:uid="{00000000-0005-0000-0000-00009E020000}"/>
    <cellStyle name="Calculation 11 2 8 2" xfId="3705" xr:uid="{00000000-0005-0000-0000-00009F020000}"/>
    <cellStyle name="Calculation 11 2 8 2 2" xfId="7275" xr:uid="{00000000-0005-0000-0000-0000A0020000}"/>
    <cellStyle name="Calculation 11 2 8 2 3" xfId="9240" xr:uid="{00000000-0005-0000-0000-0000A1020000}"/>
    <cellStyle name="Calculation 11 2 8 2 4" xfId="10532" xr:uid="{00000000-0005-0000-0000-0000A2020000}"/>
    <cellStyle name="Calculation 11 2 8 3" xfId="5836" xr:uid="{00000000-0005-0000-0000-0000A3020000}"/>
    <cellStyle name="Calculation 11 2 8 4" xfId="4541" xr:uid="{00000000-0005-0000-0000-0000A4020000}"/>
    <cellStyle name="Calculation 11 2 8 5" xfId="11614" xr:uid="{00000000-0005-0000-0000-0000A5020000}"/>
    <cellStyle name="Calculation 11 2 9" xfId="2340" xr:uid="{00000000-0005-0000-0000-0000A6020000}"/>
    <cellStyle name="Calculation 11 2 9 2" xfId="3796" xr:uid="{00000000-0005-0000-0000-0000A7020000}"/>
    <cellStyle name="Calculation 11 2 9 2 2" xfId="7366" xr:uid="{00000000-0005-0000-0000-0000A8020000}"/>
    <cellStyle name="Calculation 11 2 9 2 3" xfId="9329" xr:uid="{00000000-0005-0000-0000-0000A9020000}"/>
    <cellStyle name="Calculation 11 2 9 2 4" xfId="10623" xr:uid="{00000000-0005-0000-0000-0000AA020000}"/>
    <cellStyle name="Calculation 11 2 9 3" xfId="5928" xr:uid="{00000000-0005-0000-0000-0000AB020000}"/>
    <cellStyle name="Calculation 11 2 9 4" xfId="5344" xr:uid="{00000000-0005-0000-0000-0000AC020000}"/>
    <cellStyle name="Calculation 11 2 9 5" xfId="11705" xr:uid="{00000000-0005-0000-0000-0000AD020000}"/>
    <cellStyle name="Calculation 11 3" xfId="1420" xr:uid="{00000000-0005-0000-0000-0000AE020000}"/>
    <cellStyle name="Calculation 11 3 2" xfId="2907" xr:uid="{00000000-0005-0000-0000-0000AF020000}"/>
    <cellStyle name="Calculation 11 3 2 2" xfId="6485" xr:uid="{00000000-0005-0000-0000-0000B0020000}"/>
    <cellStyle name="Calculation 11 3 2 3" xfId="8487" xr:uid="{00000000-0005-0000-0000-0000B1020000}"/>
    <cellStyle name="Calculation 11 3 2 4" xfId="9810" xr:uid="{00000000-0005-0000-0000-0000B2020000}"/>
    <cellStyle name="Calculation 11 3 3" xfId="5018" xr:uid="{00000000-0005-0000-0000-0000B3020000}"/>
    <cellStyle name="Calculation 11 3 4" xfId="6230" xr:uid="{00000000-0005-0000-0000-0000B4020000}"/>
    <cellStyle name="Calculation 11 3 5" xfId="10892" xr:uid="{00000000-0005-0000-0000-0000B5020000}"/>
    <cellStyle name="Calculation 11 4" xfId="1506" xr:uid="{00000000-0005-0000-0000-0000B6020000}"/>
    <cellStyle name="Calculation 11 4 2" xfId="2991" xr:uid="{00000000-0005-0000-0000-0000B7020000}"/>
    <cellStyle name="Calculation 11 4 2 2" xfId="6568" xr:uid="{00000000-0005-0000-0000-0000B8020000}"/>
    <cellStyle name="Calculation 11 4 2 3" xfId="8569" xr:uid="{00000000-0005-0000-0000-0000B9020000}"/>
    <cellStyle name="Calculation 11 4 2 4" xfId="9892" xr:uid="{00000000-0005-0000-0000-0000BA020000}"/>
    <cellStyle name="Calculation 11 4 3" xfId="5103" xr:uid="{00000000-0005-0000-0000-0000BB020000}"/>
    <cellStyle name="Calculation 11 4 4" xfId="7906" xr:uid="{00000000-0005-0000-0000-0000BC020000}"/>
    <cellStyle name="Calculation 11 4 5" xfId="10973" xr:uid="{00000000-0005-0000-0000-0000BD020000}"/>
    <cellStyle name="Calculation 11 5" xfId="1321" xr:uid="{00000000-0005-0000-0000-0000BE020000}"/>
    <cellStyle name="Calculation 11 5 2" xfId="2821" xr:uid="{00000000-0005-0000-0000-0000BF020000}"/>
    <cellStyle name="Calculation 11 5 2 2" xfId="6400" xr:uid="{00000000-0005-0000-0000-0000C0020000}"/>
    <cellStyle name="Calculation 11 5 2 3" xfId="8403" xr:uid="{00000000-0005-0000-0000-0000C1020000}"/>
    <cellStyle name="Calculation 11 5 2 4" xfId="9726" xr:uid="{00000000-0005-0000-0000-0000C2020000}"/>
    <cellStyle name="Calculation 11 5 3" xfId="4919" xr:uid="{00000000-0005-0000-0000-0000C3020000}"/>
    <cellStyle name="Calculation 11 5 4" xfId="8110" xr:uid="{00000000-0005-0000-0000-0000C4020000}"/>
    <cellStyle name="Calculation 11 5 5" xfId="7741" xr:uid="{00000000-0005-0000-0000-0000C5020000}"/>
    <cellStyle name="Calculation 11 6" xfId="2557" xr:uid="{00000000-0005-0000-0000-0000C6020000}"/>
    <cellStyle name="Calculation 11 6 2" xfId="6145" xr:uid="{00000000-0005-0000-0000-0000C7020000}"/>
    <cellStyle name="Calculation 11 6 3" xfId="8171" xr:uid="{00000000-0005-0000-0000-0000C8020000}"/>
    <cellStyle name="Calculation 11 6 4" xfId="6225" xr:uid="{00000000-0005-0000-0000-0000C9020000}"/>
    <cellStyle name="Calculation 11 7" xfId="4300" xr:uid="{00000000-0005-0000-0000-0000CA020000}"/>
    <cellStyle name="Calculation 11 8" xfId="5239" xr:uid="{00000000-0005-0000-0000-0000CB020000}"/>
    <cellStyle name="Calculation 11 9" xfId="8007" xr:uid="{00000000-0005-0000-0000-0000CC020000}"/>
    <cellStyle name="Calculation 12" xfId="645" xr:uid="{00000000-0005-0000-0000-0000CD020000}"/>
    <cellStyle name="Calculation 12 2" xfId="1141" xr:uid="{00000000-0005-0000-0000-0000CE020000}"/>
    <cellStyle name="Calculation 12 2 10" xfId="1825" xr:uid="{00000000-0005-0000-0000-0000CF020000}"/>
    <cellStyle name="Calculation 12 2 10 2" xfId="3302" xr:uid="{00000000-0005-0000-0000-0000D0020000}"/>
    <cellStyle name="Calculation 12 2 10 2 2" xfId="6872" xr:uid="{00000000-0005-0000-0000-0000D1020000}"/>
    <cellStyle name="Calculation 12 2 10 2 3" xfId="8840" xr:uid="{00000000-0005-0000-0000-0000D2020000}"/>
    <cellStyle name="Calculation 12 2 10 2 4" xfId="10133" xr:uid="{00000000-0005-0000-0000-0000D3020000}"/>
    <cellStyle name="Calculation 12 2 10 3" xfId="5414" xr:uid="{00000000-0005-0000-0000-0000D4020000}"/>
    <cellStyle name="Calculation 12 2 10 4" xfId="4426" xr:uid="{00000000-0005-0000-0000-0000D5020000}"/>
    <cellStyle name="Calculation 12 2 10 5" xfId="11210" xr:uid="{00000000-0005-0000-0000-0000D6020000}"/>
    <cellStyle name="Calculation 12 2 11" xfId="2195" xr:uid="{00000000-0005-0000-0000-0000D7020000}"/>
    <cellStyle name="Calculation 12 2 11 2" xfId="3654" xr:uid="{00000000-0005-0000-0000-0000D8020000}"/>
    <cellStyle name="Calculation 12 2 11 2 2" xfId="7224" xr:uid="{00000000-0005-0000-0000-0000D9020000}"/>
    <cellStyle name="Calculation 12 2 11 2 3" xfId="9189" xr:uid="{00000000-0005-0000-0000-0000DA020000}"/>
    <cellStyle name="Calculation 12 2 11 2 4" xfId="10481" xr:uid="{00000000-0005-0000-0000-0000DB020000}"/>
    <cellStyle name="Calculation 12 2 11 3" xfId="5783" xr:uid="{00000000-0005-0000-0000-0000DC020000}"/>
    <cellStyle name="Calculation 12 2 11 4" xfId="5143" xr:uid="{00000000-0005-0000-0000-0000DD020000}"/>
    <cellStyle name="Calculation 12 2 11 5" xfId="11561" xr:uid="{00000000-0005-0000-0000-0000DE020000}"/>
    <cellStyle name="Calculation 12 2 12" xfId="2667" xr:uid="{00000000-0005-0000-0000-0000DF020000}"/>
    <cellStyle name="Calculation 12 2 12 2" xfId="6251" xr:uid="{00000000-0005-0000-0000-0000E0020000}"/>
    <cellStyle name="Calculation 12 2 12 3" xfId="8264" xr:uid="{00000000-0005-0000-0000-0000E1020000}"/>
    <cellStyle name="Calculation 12 2 12 4" xfId="9604" xr:uid="{00000000-0005-0000-0000-0000E2020000}"/>
    <cellStyle name="Calculation 12 2 13" xfId="4740" xr:uid="{00000000-0005-0000-0000-0000E3020000}"/>
    <cellStyle name="Calculation 12 2 14" xfId="4212" xr:uid="{00000000-0005-0000-0000-0000E4020000}"/>
    <cellStyle name="Calculation 12 2 15" xfId="7591" xr:uid="{00000000-0005-0000-0000-0000E5020000}"/>
    <cellStyle name="Calculation 12 2 2" xfId="1694" xr:uid="{00000000-0005-0000-0000-0000E6020000}"/>
    <cellStyle name="Calculation 12 2 2 2" xfId="3172" xr:uid="{00000000-0005-0000-0000-0000E7020000}"/>
    <cellStyle name="Calculation 12 2 2 2 2" xfId="6746" xr:uid="{00000000-0005-0000-0000-0000E8020000}"/>
    <cellStyle name="Calculation 12 2 2 2 3" xfId="8723" xr:uid="{00000000-0005-0000-0000-0000E9020000}"/>
    <cellStyle name="Calculation 12 2 2 2 4" xfId="10027" xr:uid="{00000000-0005-0000-0000-0000EA020000}"/>
    <cellStyle name="Calculation 12 2 2 3" xfId="5286" xr:uid="{00000000-0005-0000-0000-0000EB020000}"/>
    <cellStyle name="Calculation 12 2 2 4" xfId="4376" xr:uid="{00000000-0005-0000-0000-0000EC020000}"/>
    <cellStyle name="Calculation 12 2 2 5" xfId="11104" xr:uid="{00000000-0005-0000-0000-0000ED020000}"/>
    <cellStyle name="Calculation 12 2 3" xfId="1861" xr:uid="{00000000-0005-0000-0000-0000EE020000}"/>
    <cellStyle name="Calculation 12 2 3 2" xfId="3332" xr:uid="{00000000-0005-0000-0000-0000EF020000}"/>
    <cellStyle name="Calculation 12 2 3 2 2" xfId="6902" xr:uid="{00000000-0005-0000-0000-0000F0020000}"/>
    <cellStyle name="Calculation 12 2 3 2 3" xfId="8870" xr:uid="{00000000-0005-0000-0000-0000F1020000}"/>
    <cellStyle name="Calculation 12 2 3 2 4" xfId="10160" xr:uid="{00000000-0005-0000-0000-0000F2020000}"/>
    <cellStyle name="Calculation 12 2 3 3" xfId="5449" xr:uid="{00000000-0005-0000-0000-0000F3020000}"/>
    <cellStyle name="Calculation 12 2 3 4" xfId="4435" xr:uid="{00000000-0005-0000-0000-0000F4020000}"/>
    <cellStyle name="Calculation 12 2 3 5" xfId="11238" xr:uid="{00000000-0005-0000-0000-0000F5020000}"/>
    <cellStyle name="Calculation 12 2 4" xfId="1572" xr:uid="{00000000-0005-0000-0000-0000F6020000}"/>
    <cellStyle name="Calculation 12 2 4 2" xfId="3055" xr:uid="{00000000-0005-0000-0000-0000F7020000}"/>
    <cellStyle name="Calculation 12 2 4 2 2" xfId="6632" xr:uid="{00000000-0005-0000-0000-0000F8020000}"/>
    <cellStyle name="Calculation 12 2 4 2 3" xfId="8620" xr:uid="{00000000-0005-0000-0000-0000F9020000}"/>
    <cellStyle name="Calculation 12 2 4 2 4" xfId="9936" xr:uid="{00000000-0005-0000-0000-0000FA020000}"/>
    <cellStyle name="Calculation 12 2 4 3" xfId="5169" xr:uid="{00000000-0005-0000-0000-0000FB020000}"/>
    <cellStyle name="Calculation 12 2 4 4" xfId="8847" xr:uid="{00000000-0005-0000-0000-0000FC020000}"/>
    <cellStyle name="Calculation 12 2 4 5" xfId="11018" xr:uid="{00000000-0005-0000-0000-0000FD020000}"/>
    <cellStyle name="Calculation 12 2 5" xfId="1317" xr:uid="{00000000-0005-0000-0000-0000FE020000}"/>
    <cellStyle name="Calculation 12 2 5 2" xfId="2817" xr:uid="{00000000-0005-0000-0000-0000FF020000}"/>
    <cellStyle name="Calculation 12 2 5 2 2" xfId="6396" xr:uid="{00000000-0005-0000-0000-000000030000}"/>
    <cellStyle name="Calculation 12 2 5 2 3" xfId="8399" xr:uid="{00000000-0005-0000-0000-000001030000}"/>
    <cellStyle name="Calculation 12 2 5 2 4" xfId="9722" xr:uid="{00000000-0005-0000-0000-000002030000}"/>
    <cellStyle name="Calculation 12 2 5 3" xfId="4915" xr:uid="{00000000-0005-0000-0000-000003030000}"/>
    <cellStyle name="Calculation 12 2 5 4" xfId="7937" xr:uid="{00000000-0005-0000-0000-000004030000}"/>
    <cellStyle name="Calculation 12 2 5 5" xfId="4115" xr:uid="{00000000-0005-0000-0000-000005030000}"/>
    <cellStyle name="Calculation 12 2 6" xfId="1481" xr:uid="{00000000-0005-0000-0000-000006030000}"/>
    <cellStyle name="Calculation 12 2 6 2" xfId="2966" xr:uid="{00000000-0005-0000-0000-000007030000}"/>
    <cellStyle name="Calculation 12 2 6 2 2" xfId="6543" xr:uid="{00000000-0005-0000-0000-000008030000}"/>
    <cellStyle name="Calculation 12 2 6 2 3" xfId="8544" xr:uid="{00000000-0005-0000-0000-000009030000}"/>
    <cellStyle name="Calculation 12 2 6 2 4" xfId="9867" xr:uid="{00000000-0005-0000-0000-00000A030000}"/>
    <cellStyle name="Calculation 12 2 6 3" xfId="5078" xr:uid="{00000000-0005-0000-0000-00000B030000}"/>
    <cellStyle name="Calculation 12 2 6 4" xfId="7907" xr:uid="{00000000-0005-0000-0000-00000C030000}"/>
    <cellStyle name="Calculation 12 2 6 5" xfId="10948" xr:uid="{00000000-0005-0000-0000-00000D030000}"/>
    <cellStyle name="Calculation 12 2 7" xfId="1338" xr:uid="{00000000-0005-0000-0000-00000E030000}"/>
    <cellStyle name="Calculation 12 2 7 2" xfId="2836" xr:uid="{00000000-0005-0000-0000-00000F030000}"/>
    <cellStyle name="Calculation 12 2 7 2 2" xfId="6415" xr:uid="{00000000-0005-0000-0000-000010030000}"/>
    <cellStyle name="Calculation 12 2 7 2 3" xfId="8416" xr:uid="{00000000-0005-0000-0000-000011030000}"/>
    <cellStyle name="Calculation 12 2 7 2 4" xfId="9741" xr:uid="{00000000-0005-0000-0000-000012030000}"/>
    <cellStyle name="Calculation 12 2 7 3" xfId="4936" xr:uid="{00000000-0005-0000-0000-000013030000}"/>
    <cellStyle name="Calculation 12 2 7 4" xfId="8085" xr:uid="{00000000-0005-0000-0000-000014030000}"/>
    <cellStyle name="Calculation 12 2 7 5" xfId="7768" xr:uid="{00000000-0005-0000-0000-000015030000}"/>
    <cellStyle name="Calculation 12 2 8" xfId="2249" xr:uid="{00000000-0005-0000-0000-000016030000}"/>
    <cellStyle name="Calculation 12 2 8 2" xfId="3706" xr:uid="{00000000-0005-0000-0000-000017030000}"/>
    <cellStyle name="Calculation 12 2 8 2 2" xfId="7276" xr:uid="{00000000-0005-0000-0000-000018030000}"/>
    <cellStyle name="Calculation 12 2 8 2 3" xfId="9241" xr:uid="{00000000-0005-0000-0000-000019030000}"/>
    <cellStyle name="Calculation 12 2 8 2 4" xfId="10533" xr:uid="{00000000-0005-0000-0000-00001A030000}"/>
    <cellStyle name="Calculation 12 2 8 3" xfId="5837" xr:uid="{00000000-0005-0000-0000-00001B030000}"/>
    <cellStyle name="Calculation 12 2 8 4" xfId="4542" xr:uid="{00000000-0005-0000-0000-00001C030000}"/>
    <cellStyle name="Calculation 12 2 8 5" xfId="11615" xr:uid="{00000000-0005-0000-0000-00001D030000}"/>
    <cellStyle name="Calculation 12 2 9" xfId="2341" xr:uid="{00000000-0005-0000-0000-00001E030000}"/>
    <cellStyle name="Calculation 12 2 9 2" xfId="3797" xr:uid="{00000000-0005-0000-0000-00001F030000}"/>
    <cellStyle name="Calculation 12 2 9 2 2" xfId="7367" xr:uid="{00000000-0005-0000-0000-000020030000}"/>
    <cellStyle name="Calculation 12 2 9 2 3" xfId="9330" xr:uid="{00000000-0005-0000-0000-000021030000}"/>
    <cellStyle name="Calculation 12 2 9 2 4" xfId="10624" xr:uid="{00000000-0005-0000-0000-000022030000}"/>
    <cellStyle name="Calculation 12 2 9 3" xfId="5929" xr:uid="{00000000-0005-0000-0000-000023030000}"/>
    <cellStyle name="Calculation 12 2 9 4" xfId="6802" xr:uid="{00000000-0005-0000-0000-000024030000}"/>
    <cellStyle name="Calculation 12 2 9 5" xfId="11706" xr:uid="{00000000-0005-0000-0000-000025030000}"/>
    <cellStyle name="Calculation 12 3" xfId="1421" xr:uid="{00000000-0005-0000-0000-000026030000}"/>
    <cellStyle name="Calculation 12 3 2" xfId="2908" xr:uid="{00000000-0005-0000-0000-000027030000}"/>
    <cellStyle name="Calculation 12 3 2 2" xfId="6486" xr:uid="{00000000-0005-0000-0000-000028030000}"/>
    <cellStyle name="Calculation 12 3 2 3" xfId="8488" xr:uid="{00000000-0005-0000-0000-000029030000}"/>
    <cellStyle name="Calculation 12 3 2 4" xfId="9811" xr:uid="{00000000-0005-0000-0000-00002A030000}"/>
    <cellStyle name="Calculation 12 3 3" xfId="5019" xr:uid="{00000000-0005-0000-0000-00002B030000}"/>
    <cellStyle name="Calculation 12 3 4" xfId="4016" xr:uid="{00000000-0005-0000-0000-00002C030000}"/>
    <cellStyle name="Calculation 12 3 5" xfId="10893" xr:uid="{00000000-0005-0000-0000-00002D030000}"/>
    <cellStyle name="Calculation 12 4" xfId="1493" xr:uid="{00000000-0005-0000-0000-00002E030000}"/>
    <cellStyle name="Calculation 12 4 2" xfId="2978" xr:uid="{00000000-0005-0000-0000-00002F030000}"/>
    <cellStyle name="Calculation 12 4 2 2" xfId="6555" xr:uid="{00000000-0005-0000-0000-000030030000}"/>
    <cellStyle name="Calculation 12 4 2 3" xfId="8556" xr:uid="{00000000-0005-0000-0000-000031030000}"/>
    <cellStyle name="Calculation 12 4 2 4" xfId="9879" xr:uid="{00000000-0005-0000-0000-000032030000}"/>
    <cellStyle name="Calculation 12 4 3" xfId="5090" xr:uid="{00000000-0005-0000-0000-000033030000}"/>
    <cellStyle name="Calculation 12 4 4" xfId="9350" xr:uid="{00000000-0005-0000-0000-000034030000}"/>
    <cellStyle name="Calculation 12 4 5" xfId="10960" xr:uid="{00000000-0005-0000-0000-000035030000}"/>
    <cellStyle name="Calculation 12 5" xfId="1959" xr:uid="{00000000-0005-0000-0000-000036030000}"/>
    <cellStyle name="Calculation 12 5 2" xfId="3423" xr:uid="{00000000-0005-0000-0000-000037030000}"/>
    <cellStyle name="Calculation 12 5 2 2" xfId="6993" xr:uid="{00000000-0005-0000-0000-000038030000}"/>
    <cellStyle name="Calculation 12 5 2 3" xfId="8959" xr:uid="{00000000-0005-0000-0000-000039030000}"/>
    <cellStyle name="Calculation 12 5 2 4" xfId="10250" xr:uid="{00000000-0005-0000-0000-00003A030000}"/>
    <cellStyle name="Calculation 12 5 3" xfId="5547" xr:uid="{00000000-0005-0000-0000-00003B030000}"/>
    <cellStyle name="Calculation 12 5 4" xfId="8070" xr:uid="{00000000-0005-0000-0000-00003C030000}"/>
    <cellStyle name="Calculation 12 5 5" xfId="11328" xr:uid="{00000000-0005-0000-0000-00003D030000}"/>
    <cellStyle name="Calculation 12 6" xfId="2558" xr:uid="{00000000-0005-0000-0000-00003E030000}"/>
    <cellStyle name="Calculation 12 6 2" xfId="6146" xr:uid="{00000000-0005-0000-0000-00003F030000}"/>
    <cellStyle name="Calculation 12 6 3" xfId="8172" xr:uid="{00000000-0005-0000-0000-000040030000}"/>
    <cellStyle name="Calculation 12 6 4" xfId="4656" xr:uid="{00000000-0005-0000-0000-000041030000}"/>
    <cellStyle name="Calculation 12 7" xfId="4301" xr:uid="{00000000-0005-0000-0000-000042030000}"/>
    <cellStyle name="Calculation 12 8" xfId="4020" xr:uid="{00000000-0005-0000-0000-000043030000}"/>
    <cellStyle name="Calculation 12 9" xfId="7986" xr:uid="{00000000-0005-0000-0000-000044030000}"/>
    <cellStyle name="Calculation 13" xfId="646" xr:uid="{00000000-0005-0000-0000-000045030000}"/>
    <cellStyle name="Calculation 13 2" xfId="1142" xr:uid="{00000000-0005-0000-0000-000046030000}"/>
    <cellStyle name="Calculation 13 2 10" xfId="1556" xr:uid="{00000000-0005-0000-0000-000047030000}"/>
    <cellStyle name="Calculation 13 2 10 2" xfId="3040" xr:uid="{00000000-0005-0000-0000-000048030000}"/>
    <cellStyle name="Calculation 13 2 10 2 2" xfId="6617" xr:uid="{00000000-0005-0000-0000-000049030000}"/>
    <cellStyle name="Calculation 13 2 10 2 3" xfId="8608" xr:uid="{00000000-0005-0000-0000-00004A030000}"/>
    <cellStyle name="Calculation 13 2 10 2 4" xfId="9924" xr:uid="{00000000-0005-0000-0000-00004B030000}"/>
    <cellStyle name="Calculation 13 2 10 3" xfId="5153" xr:uid="{00000000-0005-0000-0000-00004C030000}"/>
    <cellStyle name="Calculation 13 2 10 4" xfId="7904" xr:uid="{00000000-0005-0000-0000-00004D030000}"/>
    <cellStyle name="Calculation 13 2 10 5" xfId="11006" xr:uid="{00000000-0005-0000-0000-00004E030000}"/>
    <cellStyle name="Calculation 13 2 11" xfId="2194" xr:uid="{00000000-0005-0000-0000-00004F030000}"/>
    <cellStyle name="Calculation 13 2 11 2" xfId="3653" xr:uid="{00000000-0005-0000-0000-000050030000}"/>
    <cellStyle name="Calculation 13 2 11 2 2" xfId="7223" xr:uid="{00000000-0005-0000-0000-000051030000}"/>
    <cellStyle name="Calculation 13 2 11 2 3" xfId="9188" xr:uid="{00000000-0005-0000-0000-000052030000}"/>
    <cellStyle name="Calculation 13 2 11 2 4" xfId="10480" xr:uid="{00000000-0005-0000-0000-000053030000}"/>
    <cellStyle name="Calculation 13 2 11 3" xfId="5782" xr:uid="{00000000-0005-0000-0000-000054030000}"/>
    <cellStyle name="Calculation 13 2 11 4" xfId="4512" xr:uid="{00000000-0005-0000-0000-000055030000}"/>
    <cellStyle name="Calculation 13 2 11 5" xfId="11560" xr:uid="{00000000-0005-0000-0000-000056030000}"/>
    <cellStyle name="Calculation 13 2 12" xfId="2668" xr:uid="{00000000-0005-0000-0000-000057030000}"/>
    <cellStyle name="Calculation 13 2 12 2" xfId="6252" xr:uid="{00000000-0005-0000-0000-000058030000}"/>
    <cellStyle name="Calculation 13 2 12 3" xfId="8265" xr:uid="{00000000-0005-0000-0000-000059030000}"/>
    <cellStyle name="Calculation 13 2 12 4" xfId="9605" xr:uid="{00000000-0005-0000-0000-00005A030000}"/>
    <cellStyle name="Calculation 13 2 13" xfId="4741" xr:uid="{00000000-0005-0000-0000-00005B030000}"/>
    <cellStyle name="Calculation 13 2 14" xfId="4211" xr:uid="{00000000-0005-0000-0000-00005C030000}"/>
    <cellStyle name="Calculation 13 2 15" xfId="7700" xr:uid="{00000000-0005-0000-0000-00005D030000}"/>
    <cellStyle name="Calculation 13 2 2" xfId="1695" xr:uid="{00000000-0005-0000-0000-00005E030000}"/>
    <cellStyle name="Calculation 13 2 2 2" xfId="3173" xr:uid="{00000000-0005-0000-0000-00005F030000}"/>
    <cellStyle name="Calculation 13 2 2 2 2" xfId="6747" xr:uid="{00000000-0005-0000-0000-000060030000}"/>
    <cellStyle name="Calculation 13 2 2 2 3" xfId="8724" xr:uid="{00000000-0005-0000-0000-000061030000}"/>
    <cellStyle name="Calculation 13 2 2 2 4" xfId="10028" xr:uid="{00000000-0005-0000-0000-000062030000}"/>
    <cellStyle name="Calculation 13 2 2 3" xfId="5287" xr:uid="{00000000-0005-0000-0000-000063030000}"/>
    <cellStyle name="Calculation 13 2 2 4" xfId="4377" xr:uid="{00000000-0005-0000-0000-000064030000}"/>
    <cellStyle name="Calculation 13 2 2 5" xfId="11105" xr:uid="{00000000-0005-0000-0000-000065030000}"/>
    <cellStyle name="Calculation 13 2 3" xfId="1862" xr:uid="{00000000-0005-0000-0000-000066030000}"/>
    <cellStyle name="Calculation 13 2 3 2" xfId="3333" xr:uid="{00000000-0005-0000-0000-000067030000}"/>
    <cellStyle name="Calculation 13 2 3 2 2" xfId="6903" xr:uid="{00000000-0005-0000-0000-000068030000}"/>
    <cellStyle name="Calculation 13 2 3 2 3" xfId="8871" xr:uid="{00000000-0005-0000-0000-000069030000}"/>
    <cellStyle name="Calculation 13 2 3 2 4" xfId="10161" xr:uid="{00000000-0005-0000-0000-00006A030000}"/>
    <cellStyle name="Calculation 13 2 3 3" xfId="5450" xr:uid="{00000000-0005-0000-0000-00006B030000}"/>
    <cellStyle name="Calculation 13 2 3 4" xfId="4019" xr:uid="{00000000-0005-0000-0000-00006C030000}"/>
    <cellStyle name="Calculation 13 2 3 5" xfId="11239" xr:uid="{00000000-0005-0000-0000-00006D030000}"/>
    <cellStyle name="Calculation 13 2 4" xfId="1755" xr:uid="{00000000-0005-0000-0000-00006E030000}"/>
    <cellStyle name="Calculation 13 2 4 2" xfId="3232" xr:uid="{00000000-0005-0000-0000-00006F030000}"/>
    <cellStyle name="Calculation 13 2 4 2 2" xfId="6805" xr:uid="{00000000-0005-0000-0000-000070030000}"/>
    <cellStyle name="Calculation 13 2 4 2 3" xfId="8781" xr:uid="{00000000-0005-0000-0000-000071030000}"/>
    <cellStyle name="Calculation 13 2 4 2 4" xfId="10082" xr:uid="{00000000-0005-0000-0000-000072030000}"/>
    <cellStyle name="Calculation 13 2 4 3" xfId="5347" xr:uid="{00000000-0005-0000-0000-000073030000}"/>
    <cellStyle name="Calculation 13 2 4 4" xfId="4224" xr:uid="{00000000-0005-0000-0000-000074030000}"/>
    <cellStyle name="Calculation 13 2 4 5" xfId="11159" xr:uid="{00000000-0005-0000-0000-000075030000}"/>
    <cellStyle name="Calculation 13 2 5" xfId="1625" xr:uid="{00000000-0005-0000-0000-000076030000}"/>
    <cellStyle name="Calculation 13 2 5 2" xfId="3108" xr:uid="{00000000-0005-0000-0000-000077030000}"/>
    <cellStyle name="Calculation 13 2 5 2 2" xfId="6684" xr:uid="{00000000-0005-0000-0000-000078030000}"/>
    <cellStyle name="Calculation 13 2 5 2 3" xfId="8671" xr:uid="{00000000-0005-0000-0000-000079030000}"/>
    <cellStyle name="Calculation 13 2 5 2 4" xfId="9988" xr:uid="{00000000-0005-0000-0000-00007A030000}"/>
    <cellStyle name="Calculation 13 2 5 3" xfId="5221" xr:uid="{00000000-0005-0000-0000-00007B030000}"/>
    <cellStyle name="Calculation 13 2 5 4" xfId="7677" xr:uid="{00000000-0005-0000-0000-00007C030000}"/>
    <cellStyle name="Calculation 13 2 5 5" xfId="11070" xr:uid="{00000000-0005-0000-0000-00007D030000}"/>
    <cellStyle name="Calculation 13 2 6" xfId="1823" xr:uid="{00000000-0005-0000-0000-00007E030000}"/>
    <cellStyle name="Calculation 13 2 6 2" xfId="3300" xr:uid="{00000000-0005-0000-0000-00007F030000}"/>
    <cellStyle name="Calculation 13 2 6 2 2" xfId="6870" xr:uid="{00000000-0005-0000-0000-000080030000}"/>
    <cellStyle name="Calculation 13 2 6 2 3" xfId="8838" xr:uid="{00000000-0005-0000-0000-000081030000}"/>
    <cellStyle name="Calculation 13 2 6 2 4" xfId="10131" xr:uid="{00000000-0005-0000-0000-000082030000}"/>
    <cellStyle name="Calculation 13 2 6 3" xfId="5412" xr:uid="{00000000-0005-0000-0000-000083030000}"/>
    <cellStyle name="Calculation 13 2 6 4" xfId="4197" xr:uid="{00000000-0005-0000-0000-000084030000}"/>
    <cellStyle name="Calculation 13 2 6 5" xfId="11208" xr:uid="{00000000-0005-0000-0000-000085030000}"/>
    <cellStyle name="Calculation 13 2 7" xfId="1508" xr:uid="{00000000-0005-0000-0000-000086030000}"/>
    <cellStyle name="Calculation 13 2 7 2" xfId="2992" xr:uid="{00000000-0005-0000-0000-000087030000}"/>
    <cellStyle name="Calculation 13 2 7 2 2" xfId="6569" xr:uid="{00000000-0005-0000-0000-000088030000}"/>
    <cellStyle name="Calculation 13 2 7 2 3" xfId="8570" xr:uid="{00000000-0005-0000-0000-000089030000}"/>
    <cellStyle name="Calculation 13 2 7 2 4" xfId="9893" xr:uid="{00000000-0005-0000-0000-00008A030000}"/>
    <cellStyle name="Calculation 13 2 7 3" xfId="5105" xr:uid="{00000000-0005-0000-0000-00008B030000}"/>
    <cellStyle name="Calculation 13 2 7 4" xfId="7809" xr:uid="{00000000-0005-0000-0000-00008C030000}"/>
    <cellStyle name="Calculation 13 2 7 5" xfId="10975" xr:uid="{00000000-0005-0000-0000-00008D030000}"/>
    <cellStyle name="Calculation 13 2 8" xfId="2250" xr:uid="{00000000-0005-0000-0000-00008E030000}"/>
    <cellStyle name="Calculation 13 2 8 2" xfId="3707" xr:uid="{00000000-0005-0000-0000-00008F030000}"/>
    <cellStyle name="Calculation 13 2 8 2 2" xfId="7277" xr:uid="{00000000-0005-0000-0000-000090030000}"/>
    <cellStyle name="Calculation 13 2 8 2 3" xfId="9242" xr:uid="{00000000-0005-0000-0000-000091030000}"/>
    <cellStyle name="Calculation 13 2 8 2 4" xfId="10534" xr:uid="{00000000-0005-0000-0000-000092030000}"/>
    <cellStyle name="Calculation 13 2 8 3" xfId="5838" xr:uid="{00000000-0005-0000-0000-000093030000}"/>
    <cellStyle name="Calculation 13 2 8 4" xfId="4543" xr:uid="{00000000-0005-0000-0000-000094030000}"/>
    <cellStyle name="Calculation 13 2 8 5" xfId="11616" xr:uid="{00000000-0005-0000-0000-000095030000}"/>
    <cellStyle name="Calculation 13 2 9" xfId="2342" xr:uid="{00000000-0005-0000-0000-000096030000}"/>
    <cellStyle name="Calculation 13 2 9 2" xfId="3798" xr:uid="{00000000-0005-0000-0000-000097030000}"/>
    <cellStyle name="Calculation 13 2 9 2 2" xfId="7368" xr:uid="{00000000-0005-0000-0000-000098030000}"/>
    <cellStyle name="Calculation 13 2 9 2 3" xfId="9331" xr:uid="{00000000-0005-0000-0000-000099030000}"/>
    <cellStyle name="Calculation 13 2 9 2 4" xfId="10625" xr:uid="{00000000-0005-0000-0000-00009A030000}"/>
    <cellStyle name="Calculation 13 2 9 3" xfId="5930" xr:uid="{00000000-0005-0000-0000-00009B030000}"/>
    <cellStyle name="Calculation 13 2 9 4" xfId="6300" xr:uid="{00000000-0005-0000-0000-00009C030000}"/>
    <cellStyle name="Calculation 13 2 9 5" xfId="11707" xr:uid="{00000000-0005-0000-0000-00009D030000}"/>
    <cellStyle name="Calculation 13 3" xfId="1422" xr:uid="{00000000-0005-0000-0000-00009E030000}"/>
    <cellStyle name="Calculation 13 3 2" xfId="2909" xr:uid="{00000000-0005-0000-0000-00009F030000}"/>
    <cellStyle name="Calculation 13 3 2 2" xfId="6487" xr:uid="{00000000-0005-0000-0000-0000A0030000}"/>
    <cellStyle name="Calculation 13 3 2 3" xfId="8489" xr:uid="{00000000-0005-0000-0000-0000A1030000}"/>
    <cellStyle name="Calculation 13 3 2 4" xfId="9812" xr:uid="{00000000-0005-0000-0000-0000A2030000}"/>
    <cellStyle name="Calculation 13 3 3" xfId="5020" xr:uid="{00000000-0005-0000-0000-0000A3030000}"/>
    <cellStyle name="Calculation 13 3 4" xfId="4350" xr:uid="{00000000-0005-0000-0000-0000A4030000}"/>
    <cellStyle name="Calculation 13 3 5" xfId="10894" xr:uid="{00000000-0005-0000-0000-0000A5030000}"/>
    <cellStyle name="Calculation 13 4" xfId="1494" xr:uid="{00000000-0005-0000-0000-0000A6030000}"/>
    <cellStyle name="Calculation 13 4 2" xfId="2979" xr:uid="{00000000-0005-0000-0000-0000A7030000}"/>
    <cellStyle name="Calculation 13 4 2 2" xfId="6556" xr:uid="{00000000-0005-0000-0000-0000A8030000}"/>
    <cellStyle name="Calculation 13 4 2 3" xfId="8557" xr:uid="{00000000-0005-0000-0000-0000A9030000}"/>
    <cellStyle name="Calculation 13 4 2 4" xfId="9880" xr:uid="{00000000-0005-0000-0000-0000AA030000}"/>
    <cellStyle name="Calculation 13 4 3" xfId="5091" xr:uid="{00000000-0005-0000-0000-0000AB030000}"/>
    <cellStyle name="Calculation 13 4 4" xfId="8080" xr:uid="{00000000-0005-0000-0000-0000AC030000}"/>
    <cellStyle name="Calculation 13 4 5" xfId="10961" xr:uid="{00000000-0005-0000-0000-0000AD030000}"/>
    <cellStyle name="Calculation 13 5" xfId="1751" xr:uid="{00000000-0005-0000-0000-0000AE030000}"/>
    <cellStyle name="Calculation 13 5 2" xfId="3228" xr:uid="{00000000-0005-0000-0000-0000AF030000}"/>
    <cellStyle name="Calculation 13 5 2 2" xfId="6801" xr:uid="{00000000-0005-0000-0000-0000B0030000}"/>
    <cellStyle name="Calculation 13 5 2 3" xfId="8779" xr:uid="{00000000-0005-0000-0000-0000B1030000}"/>
    <cellStyle name="Calculation 13 5 2 4" xfId="10081" xr:uid="{00000000-0005-0000-0000-0000B2030000}"/>
    <cellStyle name="Calculation 13 5 3" xfId="5343" xr:uid="{00000000-0005-0000-0000-0000B3030000}"/>
    <cellStyle name="Calculation 13 5 4" xfId="4216" xr:uid="{00000000-0005-0000-0000-0000B4030000}"/>
    <cellStyle name="Calculation 13 5 5" xfId="11158" xr:uid="{00000000-0005-0000-0000-0000B5030000}"/>
    <cellStyle name="Calculation 13 6" xfId="2559" xr:uid="{00000000-0005-0000-0000-0000B6030000}"/>
    <cellStyle name="Calculation 13 6 2" xfId="6147" xr:uid="{00000000-0005-0000-0000-0000B7030000}"/>
    <cellStyle name="Calculation 13 6 3" xfId="8173" xr:uid="{00000000-0005-0000-0000-0000B8030000}"/>
    <cellStyle name="Calculation 13 6 4" xfId="4854" xr:uid="{00000000-0005-0000-0000-0000B9030000}"/>
    <cellStyle name="Calculation 13 7" xfId="4302" xr:uid="{00000000-0005-0000-0000-0000BA030000}"/>
    <cellStyle name="Calculation 13 8" xfId="5053" xr:uid="{00000000-0005-0000-0000-0000BB030000}"/>
    <cellStyle name="Calculation 13 9" xfId="7970" xr:uid="{00000000-0005-0000-0000-0000BC030000}"/>
    <cellStyle name="Calculation 14" xfId="647" xr:uid="{00000000-0005-0000-0000-0000BD030000}"/>
    <cellStyle name="Calculation 14 2" xfId="1143" xr:uid="{00000000-0005-0000-0000-0000BE030000}"/>
    <cellStyle name="Calculation 14 2 10" xfId="1477" xr:uid="{00000000-0005-0000-0000-0000BF030000}"/>
    <cellStyle name="Calculation 14 2 10 2" xfId="2962" xr:uid="{00000000-0005-0000-0000-0000C0030000}"/>
    <cellStyle name="Calculation 14 2 10 2 2" xfId="6539" xr:uid="{00000000-0005-0000-0000-0000C1030000}"/>
    <cellStyle name="Calculation 14 2 10 2 3" xfId="8540" xr:uid="{00000000-0005-0000-0000-0000C2030000}"/>
    <cellStyle name="Calculation 14 2 10 2 4" xfId="9863" xr:uid="{00000000-0005-0000-0000-0000C3030000}"/>
    <cellStyle name="Calculation 14 2 10 3" xfId="5074" xr:uid="{00000000-0005-0000-0000-0000C4030000}"/>
    <cellStyle name="Calculation 14 2 10 4" xfId="7849" xr:uid="{00000000-0005-0000-0000-0000C5030000}"/>
    <cellStyle name="Calculation 14 2 10 5" xfId="10944" xr:uid="{00000000-0005-0000-0000-0000C6030000}"/>
    <cellStyle name="Calculation 14 2 11" xfId="1632" xr:uid="{00000000-0005-0000-0000-0000C7030000}"/>
    <cellStyle name="Calculation 14 2 11 2" xfId="3114" xr:uid="{00000000-0005-0000-0000-0000C8030000}"/>
    <cellStyle name="Calculation 14 2 11 2 2" xfId="6690" xr:uid="{00000000-0005-0000-0000-0000C9030000}"/>
    <cellStyle name="Calculation 14 2 11 2 3" xfId="8677" xr:uid="{00000000-0005-0000-0000-0000CA030000}"/>
    <cellStyle name="Calculation 14 2 11 2 4" xfId="9990" xr:uid="{00000000-0005-0000-0000-0000CB030000}"/>
    <cellStyle name="Calculation 14 2 11 3" xfId="5226" xr:uid="{00000000-0005-0000-0000-0000CC030000}"/>
    <cellStyle name="Calculation 14 2 11 4" xfId="8745" xr:uid="{00000000-0005-0000-0000-0000CD030000}"/>
    <cellStyle name="Calculation 14 2 11 5" xfId="11072" xr:uid="{00000000-0005-0000-0000-0000CE030000}"/>
    <cellStyle name="Calculation 14 2 12" xfId="2669" xr:uid="{00000000-0005-0000-0000-0000CF030000}"/>
    <cellStyle name="Calculation 14 2 12 2" xfId="6253" xr:uid="{00000000-0005-0000-0000-0000D0030000}"/>
    <cellStyle name="Calculation 14 2 12 3" xfId="8266" xr:uid="{00000000-0005-0000-0000-0000D1030000}"/>
    <cellStyle name="Calculation 14 2 12 4" xfId="9606" xr:uid="{00000000-0005-0000-0000-0000D2030000}"/>
    <cellStyle name="Calculation 14 2 13" xfId="4742" xr:uid="{00000000-0005-0000-0000-0000D3030000}"/>
    <cellStyle name="Calculation 14 2 14" xfId="4210" xr:uid="{00000000-0005-0000-0000-0000D4030000}"/>
    <cellStyle name="Calculation 14 2 15" xfId="8095" xr:uid="{00000000-0005-0000-0000-0000D5030000}"/>
    <cellStyle name="Calculation 14 2 2" xfId="1696" xr:uid="{00000000-0005-0000-0000-0000D6030000}"/>
    <cellStyle name="Calculation 14 2 2 2" xfId="3174" xr:uid="{00000000-0005-0000-0000-0000D7030000}"/>
    <cellStyle name="Calculation 14 2 2 2 2" xfId="6748" xr:uid="{00000000-0005-0000-0000-0000D8030000}"/>
    <cellStyle name="Calculation 14 2 2 2 3" xfId="8725" xr:uid="{00000000-0005-0000-0000-0000D9030000}"/>
    <cellStyle name="Calculation 14 2 2 2 4" xfId="10029" xr:uid="{00000000-0005-0000-0000-0000DA030000}"/>
    <cellStyle name="Calculation 14 2 2 3" xfId="5288" xr:uid="{00000000-0005-0000-0000-0000DB030000}"/>
    <cellStyle name="Calculation 14 2 2 4" xfId="4378" xr:uid="{00000000-0005-0000-0000-0000DC030000}"/>
    <cellStyle name="Calculation 14 2 2 5" xfId="11106" xr:uid="{00000000-0005-0000-0000-0000DD030000}"/>
    <cellStyle name="Calculation 14 2 3" xfId="1863" xr:uid="{00000000-0005-0000-0000-0000DE030000}"/>
    <cellStyle name="Calculation 14 2 3 2" xfId="3334" xr:uid="{00000000-0005-0000-0000-0000DF030000}"/>
    <cellStyle name="Calculation 14 2 3 2 2" xfId="6904" xr:uid="{00000000-0005-0000-0000-0000E0030000}"/>
    <cellStyle name="Calculation 14 2 3 2 3" xfId="8872" xr:uid="{00000000-0005-0000-0000-0000E1030000}"/>
    <cellStyle name="Calculation 14 2 3 2 4" xfId="10162" xr:uid="{00000000-0005-0000-0000-0000E2030000}"/>
    <cellStyle name="Calculation 14 2 3 3" xfId="5451" xr:uid="{00000000-0005-0000-0000-0000E3030000}"/>
    <cellStyle name="Calculation 14 2 3 4" xfId="4436" xr:uid="{00000000-0005-0000-0000-0000E4030000}"/>
    <cellStyle name="Calculation 14 2 3 5" xfId="11240" xr:uid="{00000000-0005-0000-0000-0000E5030000}"/>
    <cellStyle name="Calculation 14 2 4" xfId="1656" xr:uid="{00000000-0005-0000-0000-0000E6030000}"/>
    <cellStyle name="Calculation 14 2 4 2" xfId="3134" xr:uid="{00000000-0005-0000-0000-0000E7030000}"/>
    <cellStyle name="Calculation 14 2 4 2 2" xfId="6710" xr:uid="{00000000-0005-0000-0000-0000E8030000}"/>
    <cellStyle name="Calculation 14 2 4 2 3" xfId="8697" xr:uid="{00000000-0005-0000-0000-0000E9030000}"/>
    <cellStyle name="Calculation 14 2 4 2 4" xfId="10008" xr:uid="{00000000-0005-0000-0000-0000EA030000}"/>
    <cellStyle name="Calculation 14 2 4 3" xfId="5250" xr:uid="{00000000-0005-0000-0000-0000EB030000}"/>
    <cellStyle name="Calculation 14 2 4 4" xfId="7901" xr:uid="{00000000-0005-0000-0000-0000EC030000}"/>
    <cellStyle name="Calculation 14 2 4 5" xfId="11086" xr:uid="{00000000-0005-0000-0000-0000ED030000}"/>
    <cellStyle name="Calculation 14 2 5" xfId="1316" xr:uid="{00000000-0005-0000-0000-0000EE030000}"/>
    <cellStyle name="Calculation 14 2 5 2" xfId="2816" xr:uid="{00000000-0005-0000-0000-0000EF030000}"/>
    <cellStyle name="Calculation 14 2 5 2 2" xfId="6395" xr:uid="{00000000-0005-0000-0000-0000F0030000}"/>
    <cellStyle name="Calculation 14 2 5 2 3" xfId="8398" xr:uid="{00000000-0005-0000-0000-0000F1030000}"/>
    <cellStyle name="Calculation 14 2 5 2 4" xfId="9721" xr:uid="{00000000-0005-0000-0000-0000F2030000}"/>
    <cellStyle name="Calculation 14 2 5 3" xfId="4914" xr:uid="{00000000-0005-0000-0000-0000F3030000}"/>
    <cellStyle name="Calculation 14 2 5 4" xfId="7957" xr:uid="{00000000-0005-0000-0000-0000F4030000}"/>
    <cellStyle name="Calculation 14 2 5 5" xfId="4242" xr:uid="{00000000-0005-0000-0000-0000F5030000}"/>
    <cellStyle name="Calculation 14 2 6" xfId="1482" xr:uid="{00000000-0005-0000-0000-0000F6030000}"/>
    <cellStyle name="Calculation 14 2 6 2" xfId="2967" xr:uid="{00000000-0005-0000-0000-0000F7030000}"/>
    <cellStyle name="Calculation 14 2 6 2 2" xfId="6544" xr:uid="{00000000-0005-0000-0000-0000F8030000}"/>
    <cellStyle name="Calculation 14 2 6 2 3" xfId="8545" xr:uid="{00000000-0005-0000-0000-0000F9030000}"/>
    <cellStyle name="Calculation 14 2 6 2 4" xfId="9868" xr:uid="{00000000-0005-0000-0000-0000FA030000}"/>
    <cellStyle name="Calculation 14 2 6 3" xfId="5079" xr:uid="{00000000-0005-0000-0000-0000FB030000}"/>
    <cellStyle name="Calculation 14 2 6 4" xfId="8751" xr:uid="{00000000-0005-0000-0000-0000FC030000}"/>
    <cellStyle name="Calculation 14 2 6 5" xfId="10949" xr:uid="{00000000-0005-0000-0000-0000FD030000}"/>
    <cellStyle name="Calculation 14 2 7" xfId="1337" xr:uid="{00000000-0005-0000-0000-0000FE030000}"/>
    <cellStyle name="Calculation 14 2 7 2" xfId="2835" xr:uid="{00000000-0005-0000-0000-0000FF030000}"/>
    <cellStyle name="Calculation 14 2 7 2 2" xfId="6414" xr:uid="{00000000-0005-0000-0000-000000040000}"/>
    <cellStyle name="Calculation 14 2 7 2 3" xfId="8415" xr:uid="{00000000-0005-0000-0000-000001040000}"/>
    <cellStyle name="Calculation 14 2 7 2 4" xfId="9740" xr:uid="{00000000-0005-0000-0000-000002040000}"/>
    <cellStyle name="Calculation 14 2 7 3" xfId="4935" xr:uid="{00000000-0005-0000-0000-000003040000}"/>
    <cellStyle name="Calculation 14 2 7 4" xfId="7690" xr:uid="{00000000-0005-0000-0000-000004040000}"/>
    <cellStyle name="Calculation 14 2 7 5" xfId="8356" xr:uid="{00000000-0005-0000-0000-000005040000}"/>
    <cellStyle name="Calculation 14 2 8" xfId="2251" xr:uid="{00000000-0005-0000-0000-000006040000}"/>
    <cellStyle name="Calculation 14 2 8 2" xfId="3708" xr:uid="{00000000-0005-0000-0000-000007040000}"/>
    <cellStyle name="Calculation 14 2 8 2 2" xfId="7278" xr:uid="{00000000-0005-0000-0000-000008040000}"/>
    <cellStyle name="Calculation 14 2 8 2 3" xfId="9243" xr:uid="{00000000-0005-0000-0000-000009040000}"/>
    <cellStyle name="Calculation 14 2 8 2 4" xfId="10535" xr:uid="{00000000-0005-0000-0000-00000A040000}"/>
    <cellStyle name="Calculation 14 2 8 3" xfId="5839" xr:uid="{00000000-0005-0000-0000-00000B040000}"/>
    <cellStyle name="Calculation 14 2 8 4" xfId="4544" xr:uid="{00000000-0005-0000-0000-00000C040000}"/>
    <cellStyle name="Calculation 14 2 8 5" xfId="11617" xr:uid="{00000000-0005-0000-0000-00000D040000}"/>
    <cellStyle name="Calculation 14 2 9" xfId="2343" xr:uid="{00000000-0005-0000-0000-00000E040000}"/>
    <cellStyle name="Calculation 14 2 9 2" xfId="3799" xr:uid="{00000000-0005-0000-0000-00000F040000}"/>
    <cellStyle name="Calculation 14 2 9 2 2" xfId="7369" xr:uid="{00000000-0005-0000-0000-000010040000}"/>
    <cellStyle name="Calculation 14 2 9 2 3" xfId="9332" xr:uid="{00000000-0005-0000-0000-000011040000}"/>
    <cellStyle name="Calculation 14 2 9 2 4" xfId="10626" xr:uid="{00000000-0005-0000-0000-000012040000}"/>
    <cellStyle name="Calculation 14 2 9 3" xfId="5931" xr:uid="{00000000-0005-0000-0000-000013040000}"/>
    <cellStyle name="Calculation 14 2 9 4" xfId="5166" xr:uid="{00000000-0005-0000-0000-000014040000}"/>
    <cellStyle name="Calculation 14 2 9 5" xfId="11708" xr:uid="{00000000-0005-0000-0000-000015040000}"/>
    <cellStyle name="Calculation 14 3" xfId="1423" xr:uid="{00000000-0005-0000-0000-000016040000}"/>
    <cellStyle name="Calculation 14 3 2" xfId="2910" xr:uid="{00000000-0005-0000-0000-000017040000}"/>
    <cellStyle name="Calculation 14 3 2 2" xfId="6488" xr:uid="{00000000-0005-0000-0000-000018040000}"/>
    <cellStyle name="Calculation 14 3 2 3" xfId="8490" xr:uid="{00000000-0005-0000-0000-000019040000}"/>
    <cellStyle name="Calculation 14 3 2 4" xfId="9813" xr:uid="{00000000-0005-0000-0000-00001A040000}"/>
    <cellStyle name="Calculation 14 3 3" xfId="5021" xr:uid="{00000000-0005-0000-0000-00001B040000}"/>
    <cellStyle name="Calculation 14 3 4" xfId="4722" xr:uid="{00000000-0005-0000-0000-00001C040000}"/>
    <cellStyle name="Calculation 14 3 5" xfId="10895" xr:uid="{00000000-0005-0000-0000-00001D040000}"/>
    <cellStyle name="Calculation 14 4" xfId="1413" xr:uid="{00000000-0005-0000-0000-00001E040000}"/>
    <cellStyle name="Calculation 14 4 2" xfId="2900" xr:uid="{00000000-0005-0000-0000-00001F040000}"/>
    <cellStyle name="Calculation 14 4 2 2" xfId="6478" xr:uid="{00000000-0005-0000-0000-000020040000}"/>
    <cellStyle name="Calculation 14 4 2 3" xfId="8480" xr:uid="{00000000-0005-0000-0000-000021040000}"/>
    <cellStyle name="Calculation 14 4 2 4" xfId="9803" xr:uid="{00000000-0005-0000-0000-000022040000}"/>
    <cellStyle name="Calculation 14 4 3" xfId="5011" xr:uid="{00000000-0005-0000-0000-000023040000}"/>
    <cellStyle name="Calculation 14 4 4" xfId="4709" xr:uid="{00000000-0005-0000-0000-000024040000}"/>
    <cellStyle name="Calculation 14 4 5" xfId="10885" xr:uid="{00000000-0005-0000-0000-000025040000}"/>
    <cellStyle name="Calculation 14 5" xfId="1610" xr:uid="{00000000-0005-0000-0000-000026040000}"/>
    <cellStyle name="Calculation 14 5 2" xfId="3093" xr:uid="{00000000-0005-0000-0000-000027040000}"/>
    <cellStyle name="Calculation 14 5 2 2" xfId="6670" xr:uid="{00000000-0005-0000-0000-000028040000}"/>
    <cellStyle name="Calculation 14 5 2 3" xfId="8658" xr:uid="{00000000-0005-0000-0000-000029040000}"/>
    <cellStyle name="Calculation 14 5 2 4" xfId="9974" xr:uid="{00000000-0005-0000-0000-00002A040000}"/>
    <cellStyle name="Calculation 14 5 3" xfId="5207" xr:uid="{00000000-0005-0000-0000-00002B040000}"/>
    <cellStyle name="Calculation 14 5 4" xfId="4076" xr:uid="{00000000-0005-0000-0000-00002C040000}"/>
    <cellStyle name="Calculation 14 5 5" xfId="11056" xr:uid="{00000000-0005-0000-0000-00002D040000}"/>
    <cellStyle name="Calculation 14 6" xfId="2560" xr:uid="{00000000-0005-0000-0000-00002E040000}"/>
    <cellStyle name="Calculation 14 6 2" xfId="6148" xr:uid="{00000000-0005-0000-0000-00002F040000}"/>
    <cellStyle name="Calculation 14 6 3" xfId="8174" xr:uid="{00000000-0005-0000-0000-000030040000}"/>
    <cellStyle name="Calculation 14 6 4" xfId="5384" xr:uid="{00000000-0005-0000-0000-000031040000}"/>
    <cellStyle name="Calculation 14 7" xfId="4303" xr:uid="{00000000-0005-0000-0000-000032040000}"/>
    <cellStyle name="Calculation 14 8" xfId="4452" xr:uid="{00000000-0005-0000-0000-000033040000}"/>
    <cellStyle name="Calculation 14 9" xfId="7949" xr:uid="{00000000-0005-0000-0000-000034040000}"/>
    <cellStyle name="Calculation 15" xfId="648" xr:uid="{00000000-0005-0000-0000-000035040000}"/>
    <cellStyle name="Calculation 15 2" xfId="1144" xr:uid="{00000000-0005-0000-0000-000036040000}"/>
    <cellStyle name="Calculation 15 2 10" xfId="2095" xr:uid="{00000000-0005-0000-0000-000037040000}"/>
    <cellStyle name="Calculation 15 2 10 2" xfId="3555" xr:uid="{00000000-0005-0000-0000-000038040000}"/>
    <cellStyle name="Calculation 15 2 10 2 2" xfId="7125" xr:uid="{00000000-0005-0000-0000-000039040000}"/>
    <cellStyle name="Calculation 15 2 10 2 3" xfId="9090" xr:uid="{00000000-0005-0000-0000-00003A040000}"/>
    <cellStyle name="Calculation 15 2 10 2 4" xfId="10382" xr:uid="{00000000-0005-0000-0000-00003B040000}"/>
    <cellStyle name="Calculation 15 2 10 3" xfId="5683" xr:uid="{00000000-0005-0000-0000-00003C040000}"/>
    <cellStyle name="Calculation 15 2 10 4" xfId="7879" xr:uid="{00000000-0005-0000-0000-00003D040000}"/>
    <cellStyle name="Calculation 15 2 10 5" xfId="11462" xr:uid="{00000000-0005-0000-0000-00003E040000}"/>
    <cellStyle name="Calculation 15 2 11" xfId="1380" xr:uid="{00000000-0005-0000-0000-00003F040000}"/>
    <cellStyle name="Calculation 15 2 11 2" xfId="2876" xr:uid="{00000000-0005-0000-0000-000040040000}"/>
    <cellStyle name="Calculation 15 2 11 2 2" xfId="6455" xr:uid="{00000000-0005-0000-0000-000041040000}"/>
    <cellStyle name="Calculation 15 2 11 2 3" xfId="8456" xr:uid="{00000000-0005-0000-0000-000042040000}"/>
    <cellStyle name="Calculation 15 2 11 2 4" xfId="9781" xr:uid="{00000000-0005-0000-0000-000043040000}"/>
    <cellStyle name="Calculation 15 2 11 3" xfId="4978" xr:uid="{00000000-0005-0000-0000-000044040000}"/>
    <cellStyle name="Calculation 15 2 11 4" xfId="7869" xr:uid="{00000000-0005-0000-0000-000045040000}"/>
    <cellStyle name="Calculation 15 2 11 5" xfId="10863" xr:uid="{00000000-0005-0000-0000-000046040000}"/>
    <cellStyle name="Calculation 15 2 12" xfId="2670" xr:uid="{00000000-0005-0000-0000-000047040000}"/>
    <cellStyle name="Calculation 15 2 12 2" xfId="6254" xr:uid="{00000000-0005-0000-0000-000048040000}"/>
    <cellStyle name="Calculation 15 2 12 3" xfId="8267" xr:uid="{00000000-0005-0000-0000-000049040000}"/>
    <cellStyle name="Calculation 15 2 12 4" xfId="9607" xr:uid="{00000000-0005-0000-0000-00004A040000}"/>
    <cellStyle name="Calculation 15 2 13" xfId="4743" xr:uid="{00000000-0005-0000-0000-00004B040000}"/>
    <cellStyle name="Calculation 15 2 14" xfId="4209" xr:uid="{00000000-0005-0000-0000-00004C040000}"/>
    <cellStyle name="Calculation 15 2 15" xfId="8053" xr:uid="{00000000-0005-0000-0000-00004D040000}"/>
    <cellStyle name="Calculation 15 2 2" xfId="1697" xr:uid="{00000000-0005-0000-0000-00004E040000}"/>
    <cellStyle name="Calculation 15 2 2 2" xfId="3175" xr:uid="{00000000-0005-0000-0000-00004F040000}"/>
    <cellStyle name="Calculation 15 2 2 2 2" xfId="6749" xr:uid="{00000000-0005-0000-0000-000050040000}"/>
    <cellStyle name="Calculation 15 2 2 2 3" xfId="8726" xr:uid="{00000000-0005-0000-0000-000051040000}"/>
    <cellStyle name="Calculation 15 2 2 2 4" xfId="10030" xr:uid="{00000000-0005-0000-0000-000052040000}"/>
    <cellStyle name="Calculation 15 2 2 3" xfId="5289" xr:uid="{00000000-0005-0000-0000-000053040000}"/>
    <cellStyle name="Calculation 15 2 2 4" xfId="4041" xr:uid="{00000000-0005-0000-0000-000054040000}"/>
    <cellStyle name="Calculation 15 2 2 5" xfId="11107" xr:uid="{00000000-0005-0000-0000-000055040000}"/>
    <cellStyle name="Calculation 15 2 3" xfId="1864" xr:uid="{00000000-0005-0000-0000-000056040000}"/>
    <cellStyle name="Calculation 15 2 3 2" xfId="3335" xr:uid="{00000000-0005-0000-0000-000057040000}"/>
    <cellStyle name="Calculation 15 2 3 2 2" xfId="6905" xr:uid="{00000000-0005-0000-0000-000058040000}"/>
    <cellStyle name="Calculation 15 2 3 2 3" xfId="8873" xr:uid="{00000000-0005-0000-0000-000059040000}"/>
    <cellStyle name="Calculation 15 2 3 2 4" xfId="10163" xr:uid="{00000000-0005-0000-0000-00005A040000}"/>
    <cellStyle name="Calculation 15 2 3 3" xfId="5452" xr:uid="{00000000-0005-0000-0000-00005B040000}"/>
    <cellStyle name="Calculation 15 2 3 4" xfId="4437" xr:uid="{00000000-0005-0000-0000-00005C040000}"/>
    <cellStyle name="Calculation 15 2 3 5" xfId="11241" xr:uid="{00000000-0005-0000-0000-00005D040000}"/>
    <cellStyle name="Calculation 15 2 4" xfId="1657" xr:uid="{00000000-0005-0000-0000-00005E040000}"/>
    <cellStyle name="Calculation 15 2 4 2" xfId="3135" xr:uid="{00000000-0005-0000-0000-00005F040000}"/>
    <cellStyle name="Calculation 15 2 4 2 2" xfId="6711" xr:uid="{00000000-0005-0000-0000-000060040000}"/>
    <cellStyle name="Calculation 15 2 4 2 3" xfId="8698" xr:uid="{00000000-0005-0000-0000-000061040000}"/>
    <cellStyle name="Calculation 15 2 4 2 4" xfId="10009" xr:uid="{00000000-0005-0000-0000-000062040000}"/>
    <cellStyle name="Calculation 15 2 4 3" xfId="5251" xr:uid="{00000000-0005-0000-0000-000063040000}"/>
    <cellStyle name="Calculation 15 2 4 4" xfId="8744" xr:uid="{00000000-0005-0000-0000-000064040000}"/>
    <cellStyle name="Calculation 15 2 4 5" xfId="11087" xr:uid="{00000000-0005-0000-0000-000065040000}"/>
    <cellStyle name="Calculation 15 2 5" xfId="1315" xr:uid="{00000000-0005-0000-0000-000066040000}"/>
    <cellStyle name="Calculation 15 2 5 2" xfId="2815" xr:uid="{00000000-0005-0000-0000-000067040000}"/>
    <cellStyle name="Calculation 15 2 5 2 2" xfId="6394" xr:uid="{00000000-0005-0000-0000-000068040000}"/>
    <cellStyle name="Calculation 15 2 5 2 3" xfId="8397" xr:uid="{00000000-0005-0000-0000-000069040000}"/>
    <cellStyle name="Calculation 15 2 5 2 4" xfId="9720" xr:uid="{00000000-0005-0000-0000-00006A040000}"/>
    <cellStyle name="Calculation 15 2 5 3" xfId="4913" xr:uid="{00000000-0005-0000-0000-00006B040000}"/>
    <cellStyle name="Calculation 15 2 5 4" xfId="7683" xr:uid="{00000000-0005-0000-0000-00006C040000}"/>
    <cellStyle name="Calculation 15 2 5 5" xfId="8247" xr:uid="{00000000-0005-0000-0000-00006D040000}"/>
    <cellStyle name="Calculation 15 2 6" xfId="1483" xr:uid="{00000000-0005-0000-0000-00006E040000}"/>
    <cellStyle name="Calculation 15 2 6 2" xfId="2968" xr:uid="{00000000-0005-0000-0000-00006F040000}"/>
    <cellStyle name="Calculation 15 2 6 2 2" xfId="6545" xr:uid="{00000000-0005-0000-0000-000070040000}"/>
    <cellStyle name="Calculation 15 2 6 2 3" xfId="8546" xr:uid="{00000000-0005-0000-0000-000071040000}"/>
    <cellStyle name="Calculation 15 2 6 2 4" xfId="9869" xr:uid="{00000000-0005-0000-0000-000072040000}"/>
    <cellStyle name="Calculation 15 2 6 3" xfId="5080" xr:uid="{00000000-0005-0000-0000-000073040000}"/>
    <cellStyle name="Calculation 15 2 6 4" xfId="7810" xr:uid="{00000000-0005-0000-0000-000074040000}"/>
    <cellStyle name="Calculation 15 2 6 5" xfId="10950" xr:uid="{00000000-0005-0000-0000-000075040000}"/>
    <cellStyle name="Calculation 15 2 7" xfId="1336" xr:uid="{00000000-0005-0000-0000-000076040000}"/>
    <cellStyle name="Calculation 15 2 7 2" xfId="2834" xr:uid="{00000000-0005-0000-0000-000077040000}"/>
    <cellStyle name="Calculation 15 2 7 2 2" xfId="6413" xr:uid="{00000000-0005-0000-0000-000078040000}"/>
    <cellStyle name="Calculation 15 2 7 2 3" xfId="8414" xr:uid="{00000000-0005-0000-0000-000079040000}"/>
    <cellStyle name="Calculation 15 2 7 2 4" xfId="9739" xr:uid="{00000000-0005-0000-0000-00007A040000}"/>
    <cellStyle name="Calculation 15 2 7 3" xfId="4934" xr:uid="{00000000-0005-0000-0000-00007B040000}"/>
    <cellStyle name="Calculation 15 2 7 4" xfId="7597" xr:uid="{00000000-0005-0000-0000-00007C040000}"/>
    <cellStyle name="Calculation 15 2 7 5" xfId="8822" xr:uid="{00000000-0005-0000-0000-00007D040000}"/>
    <cellStyle name="Calculation 15 2 8" xfId="2252" xr:uid="{00000000-0005-0000-0000-00007E040000}"/>
    <cellStyle name="Calculation 15 2 8 2" xfId="3709" xr:uid="{00000000-0005-0000-0000-00007F040000}"/>
    <cellStyle name="Calculation 15 2 8 2 2" xfId="7279" xr:uid="{00000000-0005-0000-0000-000080040000}"/>
    <cellStyle name="Calculation 15 2 8 2 3" xfId="9244" xr:uid="{00000000-0005-0000-0000-000081040000}"/>
    <cellStyle name="Calculation 15 2 8 2 4" xfId="10536" xr:uid="{00000000-0005-0000-0000-000082040000}"/>
    <cellStyle name="Calculation 15 2 8 3" xfId="5840" xr:uid="{00000000-0005-0000-0000-000083040000}"/>
    <cellStyle name="Calculation 15 2 8 4" xfId="4545" xr:uid="{00000000-0005-0000-0000-000084040000}"/>
    <cellStyle name="Calculation 15 2 8 5" xfId="11618" xr:uid="{00000000-0005-0000-0000-000085040000}"/>
    <cellStyle name="Calculation 15 2 9" xfId="2344" xr:uid="{00000000-0005-0000-0000-000086040000}"/>
    <cellStyle name="Calculation 15 2 9 2" xfId="3800" xr:uid="{00000000-0005-0000-0000-000087040000}"/>
    <cellStyle name="Calculation 15 2 9 2 2" xfId="7370" xr:uid="{00000000-0005-0000-0000-000088040000}"/>
    <cellStyle name="Calculation 15 2 9 2 3" xfId="9333" xr:uid="{00000000-0005-0000-0000-000089040000}"/>
    <cellStyle name="Calculation 15 2 9 2 4" xfId="10627" xr:uid="{00000000-0005-0000-0000-00008A040000}"/>
    <cellStyle name="Calculation 15 2 9 3" xfId="5932" xr:uid="{00000000-0005-0000-0000-00008B040000}"/>
    <cellStyle name="Calculation 15 2 9 4" xfId="6629" xr:uid="{00000000-0005-0000-0000-00008C040000}"/>
    <cellStyle name="Calculation 15 2 9 5" xfId="11709" xr:uid="{00000000-0005-0000-0000-00008D040000}"/>
    <cellStyle name="Calculation 15 3" xfId="1424" xr:uid="{00000000-0005-0000-0000-00008E040000}"/>
    <cellStyle name="Calculation 15 3 2" xfId="2911" xr:uid="{00000000-0005-0000-0000-00008F040000}"/>
    <cellStyle name="Calculation 15 3 2 2" xfId="6489" xr:uid="{00000000-0005-0000-0000-000090040000}"/>
    <cellStyle name="Calculation 15 3 2 3" xfId="8491" xr:uid="{00000000-0005-0000-0000-000091040000}"/>
    <cellStyle name="Calculation 15 3 2 4" xfId="9814" xr:uid="{00000000-0005-0000-0000-000092040000}"/>
    <cellStyle name="Calculation 15 3 3" xfId="5022" xr:uid="{00000000-0005-0000-0000-000093040000}"/>
    <cellStyle name="Calculation 15 3 4" xfId="4039" xr:uid="{00000000-0005-0000-0000-000094040000}"/>
    <cellStyle name="Calculation 15 3 5" xfId="10896" xr:uid="{00000000-0005-0000-0000-000095040000}"/>
    <cellStyle name="Calculation 15 4" xfId="1412" xr:uid="{00000000-0005-0000-0000-000096040000}"/>
    <cellStyle name="Calculation 15 4 2" xfId="2899" xr:uid="{00000000-0005-0000-0000-000097040000}"/>
    <cellStyle name="Calculation 15 4 2 2" xfId="6477" xr:uid="{00000000-0005-0000-0000-000098040000}"/>
    <cellStyle name="Calculation 15 4 2 3" xfId="8479" xr:uid="{00000000-0005-0000-0000-000099040000}"/>
    <cellStyle name="Calculation 15 4 2 4" xfId="9802" xr:uid="{00000000-0005-0000-0000-00009A040000}"/>
    <cellStyle name="Calculation 15 4 3" xfId="5010" xr:uid="{00000000-0005-0000-0000-00009B040000}"/>
    <cellStyle name="Calculation 15 4 4" xfId="6162" xr:uid="{00000000-0005-0000-0000-00009C040000}"/>
    <cellStyle name="Calculation 15 4 5" xfId="10884" xr:uid="{00000000-0005-0000-0000-00009D040000}"/>
    <cellStyle name="Calculation 15 5" xfId="1820" xr:uid="{00000000-0005-0000-0000-00009E040000}"/>
    <cellStyle name="Calculation 15 5 2" xfId="3297" xr:uid="{00000000-0005-0000-0000-00009F040000}"/>
    <cellStyle name="Calculation 15 5 2 2" xfId="6867" xr:uid="{00000000-0005-0000-0000-0000A0040000}"/>
    <cellStyle name="Calculation 15 5 2 3" xfId="8835" xr:uid="{00000000-0005-0000-0000-0000A1040000}"/>
    <cellStyle name="Calculation 15 5 2 4" xfId="10128" xr:uid="{00000000-0005-0000-0000-0000A2040000}"/>
    <cellStyle name="Calculation 15 5 3" xfId="5409" xr:uid="{00000000-0005-0000-0000-0000A3040000}"/>
    <cellStyle name="Calculation 15 5 4" xfId="7798" xr:uid="{00000000-0005-0000-0000-0000A4040000}"/>
    <cellStyle name="Calculation 15 5 5" xfId="11205" xr:uid="{00000000-0005-0000-0000-0000A5040000}"/>
    <cellStyle name="Calculation 15 6" xfId="2561" xr:uid="{00000000-0005-0000-0000-0000A6040000}"/>
    <cellStyle name="Calculation 15 6 2" xfId="6149" xr:uid="{00000000-0005-0000-0000-0000A7040000}"/>
    <cellStyle name="Calculation 15 6 3" xfId="8175" xr:uid="{00000000-0005-0000-0000-0000A8040000}"/>
    <cellStyle name="Calculation 15 6 4" xfId="6842" xr:uid="{00000000-0005-0000-0000-0000A9040000}"/>
    <cellStyle name="Calculation 15 7" xfId="4304" xr:uid="{00000000-0005-0000-0000-0000AA040000}"/>
    <cellStyle name="Calculation 15 8" xfId="5433" xr:uid="{00000000-0005-0000-0000-0000AB040000}"/>
    <cellStyle name="Calculation 15 9" xfId="7925" xr:uid="{00000000-0005-0000-0000-0000AC040000}"/>
    <cellStyle name="Calculation 16" xfId="649" xr:uid="{00000000-0005-0000-0000-0000AD040000}"/>
    <cellStyle name="Calculation 16 2" xfId="1145" xr:uid="{00000000-0005-0000-0000-0000AE040000}"/>
    <cellStyle name="Calculation 16 2 10" xfId="1715" xr:uid="{00000000-0005-0000-0000-0000AF040000}"/>
    <cellStyle name="Calculation 16 2 10 2" xfId="3192" xr:uid="{00000000-0005-0000-0000-0000B0040000}"/>
    <cellStyle name="Calculation 16 2 10 2 2" xfId="6765" xr:uid="{00000000-0005-0000-0000-0000B1040000}"/>
    <cellStyle name="Calculation 16 2 10 2 3" xfId="8743" xr:uid="{00000000-0005-0000-0000-0000B2040000}"/>
    <cellStyle name="Calculation 16 2 10 2 4" xfId="10045" xr:uid="{00000000-0005-0000-0000-0000B3040000}"/>
    <cellStyle name="Calculation 16 2 10 3" xfId="5307" xr:uid="{00000000-0005-0000-0000-0000B4040000}"/>
    <cellStyle name="Calculation 16 2 10 4" xfId="4390" xr:uid="{00000000-0005-0000-0000-0000B5040000}"/>
    <cellStyle name="Calculation 16 2 10 5" xfId="11122" xr:uid="{00000000-0005-0000-0000-0000B6040000}"/>
    <cellStyle name="Calculation 16 2 11" xfId="1379" xr:uid="{00000000-0005-0000-0000-0000B7040000}"/>
    <cellStyle name="Calculation 16 2 11 2" xfId="2875" xr:uid="{00000000-0005-0000-0000-0000B8040000}"/>
    <cellStyle name="Calculation 16 2 11 2 2" xfId="6454" xr:uid="{00000000-0005-0000-0000-0000B9040000}"/>
    <cellStyle name="Calculation 16 2 11 2 3" xfId="8455" xr:uid="{00000000-0005-0000-0000-0000BA040000}"/>
    <cellStyle name="Calculation 16 2 11 2 4" xfId="9780" xr:uid="{00000000-0005-0000-0000-0000BB040000}"/>
    <cellStyle name="Calculation 16 2 11 3" xfId="4977" xr:uid="{00000000-0005-0000-0000-0000BC040000}"/>
    <cellStyle name="Calculation 16 2 11 4" xfId="8290" xr:uid="{00000000-0005-0000-0000-0000BD040000}"/>
    <cellStyle name="Calculation 16 2 11 5" xfId="10862" xr:uid="{00000000-0005-0000-0000-0000BE040000}"/>
    <cellStyle name="Calculation 16 2 12" xfId="2671" xr:uid="{00000000-0005-0000-0000-0000BF040000}"/>
    <cellStyle name="Calculation 16 2 12 2" xfId="6255" xr:uid="{00000000-0005-0000-0000-0000C0040000}"/>
    <cellStyle name="Calculation 16 2 12 3" xfId="8268" xr:uid="{00000000-0005-0000-0000-0000C1040000}"/>
    <cellStyle name="Calculation 16 2 12 4" xfId="9608" xr:uid="{00000000-0005-0000-0000-0000C2040000}"/>
    <cellStyle name="Calculation 16 2 13" xfId="4744" xr:uid="{00000000-0005-0000-0000-0000C3040000}"/>
    <cellStyle name="Calculation 16 2 14" xfId="4208" xr:uid="{00000000-0005-0000-0000-0000C4040000}"/>
    <cellStyle name="Calculation 16 2 15" xfId="7998" xr:uid="{00000000-0005-0000-0000-0000C5040000}"/>
    <cellStyle name="Calculation 16 2 2" xfId="1698" xr:uid="{00000000-0005-0000-0000-0000C6040000}"/>
    <cellStyle name="Calculation 16 2 2 2" xfId="3176" xr:uid="{00000000-0005-0000-0000-0000C7040000}"/>
    <cellStyle name="Calculation 16 2 2 2 2" xfId="6750" xr:uid="{00000000-0005-0000-0000-0000C8040000}"/>
    <cellStyle name="Calculation 16 2 2 2 3" xfId="8727" xr:uid="{00000000-0005-0000-0000-0000C9040000}"/>
    <cellStyle name="Calculation 16 2 2 2 4" xfId="10031" xr:uid="{00000000-0005-0000-0000-0000CA040000}"/>
    <cellStyle name="Calculation 16 2 2 3" xfId="5290" xr:uid="{00000000-0005-0000-0000-0000CB040000}"/>
    <cellStyle name="Calculation 16 2 2 4" xfId="4379" xr:uid="{00000000-0005-0000-0000-0000CC040000}"/>
    <cellStyle name="Calculation 16 2 2 5" xfId="11108" xr:uid="{00000000-0005-0000-0000-0000CD040000}"/>
    <cellStyle name="Calculation 16 2 3" xfId="1865" xr:uid="{00000000-0005-0000-0000-0000CE040000}"/>
    <cellStyle name="Calculation 16 2 3 2" xfId="3336" xr:uid="{00000000-0005-0000-0000-0000CF040000}"/>
    <cellStyle name="Calculation 16 2 3 2 2" xfId="6906" xr:uid="{00000000-0005-0000-0000-0000D0040000}"/>
    <cellStyle name="Calculation 16 2 3 2 3" xfId="8874" xr:uid="{00000000-0005-0000-0000-0000D1040000}"/>
    <cellStyle name="Calculation 16 2 3 2 4" xfId="10164" xr:uid="{00000000-0005-0000-0000-0000D2040000}"/>
    <cellStyle name="Calculation 16 2 3 3" xfId="5453" xr:uid="{00000000-0005-0000-0000-0000D3040000}"/>
    <cellStyle name="Calculation 16 2 3 4" xfId="4438" xr:uid="{00000000-0005-0000-0000-0000D4040000}"/>
    <cellStyle name="Calculation 16 2 3 5" xfId="11242" xr:uid="{00000000-0005-0000-0000-0000D5040000}"/>
    <cellStyle name="Calculation 16 2 4" xfId="1658" xr:uid="{00000000-0005-0000-0000-0000D6040000}"/>
    <cellStyle name="Calculation 16 2 4 2" xfId="3136" xr:uid="{00000000-0005-0000-0000-0000D7040000}"/>
    <cellStyle name="Calculation 16 2 4 2 2" xfId="6712" xr:uid="{00000000-0005-0000-0000-0000D8040000}"/>
    <cellStyle name="Calculation 16 2 4 2 3" xfId="8699" xr:uid="{00000000-0005-0000-0000-0000D9040000}"/>
    <cellStyle name="Calculation 16 2 4 2 4" xfId="10010" xr:uid="{00000000-0005-0000-0000-0000DA040000}"/>
    <cellStyle name="Calculation 16 2 4 3" xfId="5252" xr:uid="{00000000-0005-0000-0000-0000DB040000}"/>
    <cellStyle name="Calculation 16 2 4 4" xfId="7803" xr:uid="{00000000-0005-0000-0000-0000DC040000}"/>
    <cellStyle name="Calculation 16 2 4 5" xfId="11088" xr:uid="{00000000-0005-0000-0000-0000DD040000}"/>
    <cellStyle name="Calculation 16 2 5" xfId="1314" xr:uid="{00000000-0005-0000-0000-0000DE040000}"/>
    <cellStyle name="Calculation 16 2 5 2" xfId="2814" xr:uid="{00000000-0005-0000-0000-0000DF040000}"/>
    <cellStyle name="Calculation 16 2 5 2 2" xfId="6393" xr:uid="{00000000-0005-0000-0000-0000E0040000}"/>
    <cellStyle name="Calculation 16 2 5 2 3" xfId="8396" xr:uid="{00000000-0005-0000-0000-0000E1040000}"/>
    <cellStyle name="Calculation 16 2 5 2 4" xfId="9719" xr:uid="{00000000-0005-0000-0000-0000E2040000}"/>
    <cellStyle name="Calculation 16 2 5 3" xfId="4912" xr:uid="{00000000-0005-0000-0000-0000E3040000}"/>
    <cellStyle name="Calculation 16 2 5 4" xfId="7991" xr:uid="{00000000-0005-0000-0000-0000E4040000}"/>
    <cellStyle name="Calculation 16 2 5 5" xfId="4235" xr:uid="{00000000-0005-0000-0000-0000E5040000}"/>
    <cellStyle name="Calculation 16 2 6" xfId="1484" xr:uid="{00000000-0005-0000-0000-0000E6040000}"/>
    <cellStyle name="Calculation 16 2 6 2" xfId="2969" xr:uid="{00000000-0005-0000-0000-0000E7040000}"/>
    <cellStyle name="Calculation 16 2 6 2 2" xfId="6546" xr:uid="{00000000-0005-0000-0000-0000E8040000}"/>
    <cellStyle name="Calculation 16 2 6 2 3" xfId="8547" xr:uid="{00000000-0005-0000-0000-0000E9040000}"/>
    <cellStyle name="Calculation 16 2 6 2 4" xfId="9870" xr:uid="{00000000-0005-0000-0000-0000EA040000}"/>
    <cellStyle name="Calculation 16 2 6 3" xfId="5081" xr:uid="{00000000-0005-0000-0000-0000EB040000}"/>
    <cellStyle name="Calculation 16 2 6 4" xfId="8288" xr:uid="{00000000-0005-0000-0000-0000EC040000}"/>
    <cellStyle name="Calculation 16 2 6 5" xfId="10951" xr:uid="{00000000-0005-0000-0000-0000ED040000}"/>
    <cellStyle name="Calculation 16 2 7" xfId="1653" xr:uid="{00000000-0005-0000-0000-0000EE040000}"/>
    <cellStyle name="Calculation 16 2 7 2" xfId="3131" xr:uid="{00000000-0005-0000-0000-0000EF040000}"/>
    <cellStyle name="Calculation 16 2 7 2 2" xfId="6707" xr:uid="{00000000-0005-0000-0000-0000F0040000}"/>
    <cellStyle name="Calculation 16 2 7 2 3" xfId="8694" xr:uid="{00000000-0005-0000-0000-0000F1040000}"/>
    <cellStyle name="Calculation 16 2 7 2 4" xfId="10007" xr:uid="{00000000-0005-0000-0000-0000F2040000}"/>
    <cellStyle name="Calculation 16 2 7 3" xfId="5247" xr:uid="{00000000-0005-0000-0000-0000F3040000}"/>
    <cellStyle name="Calculation 16 2 7 4" xfId="8660" xr:uid="{00000000-0005-0000-0000-0000F4040000}"/>
    <cellStyle name="Calculation 16 2 7 5" xfId="11085" xr:uid="{00000000-0005-0000-0000-0000F5040000}"/>
    <cellStyle name="Calculation 16 2 8" xfId="2253" xr:uid="{00000000-0005-0000-0000-0000F6040000}"/>
    <cellStyle name="Calculation 16 2 8 2" xfId="3710" xr:uid="{00000000-0005-0000-0000-0000F7040000}"/>
    <cellStyle name="Calculation 16 2 8 2 2" xfId="7280" xr:uid="{00000000-0005-0000-0000-0000F8040000}"/>
    <cellStyle name="Calculation 16 2 8 2 3" xfId="9245" xr:uid="{00000000-0005-0000-0000-0000F9040000}"/>
    <cellStyle name="Calculation 16 2 8 2 4" xfId="10537" xr:uid="{00000000-0005-0000-0000-0000FA040000}"/>
    <cellStyle name="Calculation 16 2 8 3" xfId="5841" xr:uid="{00000000-0005-0000-0000-0000FB040000}"/>
    <cellStyle name="Calculation 16 2 8 4" xfId="4546" xr:uid="{00000000-0005-0000-0000-0000FC040000}"/>
    <cellStyle name="Calculation 16 2 8 5" xfId="11619" xr:uid="{00000000-0005-0000-0000-0000FD040000}"/>
    <cellStyle name="Calculation 16 2 9" xfId="2345" xr:uid="{00000000-0005-0000-0000-0000FE040000}"/>
    <cellStyle name="Calculation 16 2 9 2" xfId="3801" xr:uid="{00000000-0005-0000-0000-0000FF040000}"/>
    <cellStyle name="Calculation 16 2 9 2 2" xfId="7371" xr:uid="{00000000-0005-0000-0000-000000050000}"/>
    <cellStyle name="Calculation 16 2 9 2 3" xfId="9334" xr:uid="{00000000-0005-0000-0000-000001050000}"/>
    <cellStyle name="Calculation 16 2 9 2 4" xfId="10628" xr:uid="{00000000-0005-0000-0000-000002050000}"/>
    <cellStyle name="Calculation 16 2 9 3" xfId="5933" xr:uid="{00000000-0005-0000-0000-000003050000}"/>
    <cellStyle name="Calculation 16 2 9 4" xfId="6186" xr:uid="{00000000-0005-0000-0000-000004050000}"/>
    <cellStyle name="Calculation 16 2 9 5" xfId="11710" xr:uid="{00000000-0005-0000-0000-000005050000}"/>
    <cellStyle name="Calculation 16 3" xfId="1425" xr:uid="{00000000-0005-0000-0000-000006050000}"/>
    <cellStyle name="Calculation 16 3 2" xfId="2912" xr:uid="{00000000-0005-0000-0000-000007050000}"/>
    <cellStyle name="Calculation 16 3 2 2" xfId="6490" xr:uid="{00000000-0005-0000-0000-000008050000}"/>
    <cellStyle name="Calculation 16 3 2 3" xfId="8492" xr:uid="{00000000-0005-0000-0000-000009050000}"/>
    <cellStyle name="Calculation 16 3 2 4" xfId="9815" xr:uid="{00000000-0005-0000-0000-00000A050000}"/>
    <cellStyle name="Calculation 16 3 3" xfId="5023" xr:uid="{00000000-0005-0000-0000-00000B050000}"/>
    <cellStyle name="Calculation 16 3 4" xfId="4351" xr:uid="{00000000-0005-0000-0000-00000C050000}"/>
    <cellStyle name="Calculation 16 3 5" xfId="10897" xr:uid="{00000000-0005-0000-0000-00000D050000}"/>
    <cellStyle name="Calculation 16 4" xfId="1857" xr:uid="{00000000-0005-0000-0000-00000E050000}"/>
    <cellStyle name="Calculation 16 4 2" xfId="3329" xr:uid="{00000000-0005-0000-0000-00000F050000}"/>
    <cellStyle name="Calculation 16 4 2 2" xfId="6899" xr:uid="{00000000-0005-0000-0000-000010050000}"/>
    <cellStyle name="Calculation 16 4 2 3" xfId="8867" xr:uid="{00000000-0005-0000-0000-000011050000}"/>
    <cellStyle name="Calculation 16 4 2 4" xfId="10157" xr:uid="{00000000-0005-0000-0000-000012050000}"/>
    <cellStyle name="Calculation 16 4 3" xfId="5446" xr:uid="{00000000-0005-0000-0000-000013050000}"/>
    <cellStyle name="Calculation 16 4 4" xfId="4431" xr:uid="{00000000-0005-0000-0000-000014050000}"/>
    <cellStyle name="Calculation 16 4 5" xfId="11235" xr:uid="{00000000-0005-0000-0000-000015050000}"/>
    <cellStyle name="Calculation 16 5" xfId="1330" xr:uid="{00000000-0005-0000-0000-000016050000}"/>
    <cellStyle name="Calculation 16 5 2" xfId="2828" xr:uid="{00000000-0005-0000-0000-000017050000}"/>
    <cellStyle name="Calculation 16 5 2 2" xfId="6407" xr:uid="{00000000-0005-0000-0000-000018050000}"/>
    <cellStyle name="Calculation 16 5 2 3" xfId="8410" xr:uid="{00000000-0005-0000-0000-000019050000}"/>
    <cellStyle name="Calculation 16 5 2 4" xfId="9733" xr:uid="{00000000-0005-0000-0000-00001A050000}"/>
    <cellStyle name="Calculation 16 5 3" xfId="4928" xr:uid="{00000000-0005-0000-0000-00001B050000}"/>
    <cellStyle name="Calculation 16 5 4" xfId="7936" xr:uid="{00000000-0005-0000-0000-00001C050000}"/>
    <cellStyle name="Calculation 16 5 5" xfId="8676" xr:uid="{00000000-0005-0000-0000-00001D050000}"/>
    <cellStyle name="Calculation 16 6" xfId="2562" xr:uid="{00000000-0005-0000-0000-00001E050000}"/>
    <cellStyle name="Calculation 16 6 2" xfId="6150" xr:uid="{00000000-0005-0000-0000-00001F050000}"/>
    <cellStyle name="Calculation 16 6 3" xfId="8176" xr:uid="{00000000-0005-0000-0000-000020050000}"/>
    <cellStyle name="Calculation 16 6 4" xfId="6338" xr:uid="{00000000-0005-0000-0000-000021050000}"/>
    <cellStyle name="Calculation 16 7" xfId="4305" xr:uid="{00000000-0005-0000-0000-000022050000}"/>
    <cellStyle name="Calculation 16 8" xfId="4451" xr:uid="{00000000-0005-0000-0000-000023050000}"/>
    <cellStyle name="Calculation 16 9" xfId="7829" xr:uid="{00000000-0005-0000-0000-000024050000}"/>
    <cellStyle name="Calculation 17" xfId="650" xr:uid="{00000000-0005-0000-0000-000025050000}"/>
    <cellStyle name="Calculation 17 2" xfId="1146" xr:uid="{00000000-0005-0000-0000-000026050000}"/>
    <cellStyle name="Calculation 17 2 10" xfId="2096" xr:uid="{00000000-0005-0000-0000-000027050000}"/>
    <cellStyle name="Calculation 17 2 10 2" xfId="3556" xr:uid="{00000000-0005-0000-0000-000028050000}"/>
    <cellStyle name="Calculation 17 2 10 2 2" xfId="7126" xr:uid="{00000000-0005-0000-0000-000029050000}"/>
    <cellStyle name="Calculation 17 2 10 2 3" xfId="9091" xr:uid="{00000000-0005-0000-0000-00002A050000}"/>
    <cellStyle name="Calculation 17 2 10 2 4" xfId="10383" xr:uid="{00000000-0005-0000-0000-00002B050000}"/>
    <cellStyle name="Calculation 17 2 10 3" xfId="5684" xr:uid="{00000000-0005-0000-0000-00002C050000}"/>
    <cellStyle name="Calculation 17 2 10 4" xfId="7782" xr:uid="{00000000-0005-0000-0000-00002D050000}"/>
    <cellStyle name="Calculation 17 2 10 5" xfId="11463" xr:uid="{00000000-0005-0000-0000-00002E050000}"/>
    <cellStyle name="Calculation 17 2 11" xfId="1452" xr:uid="{00000000-0005-0000-0000-00002F050000}"/>
    <cellStyle name="Calculation 17 2 11 2" xfId="2939" xr:uid="{00000000-0005-0000-0000-000030050000}"/>
    <cellStyle name="Calculation 17 2 11 2 2" xfId="6516" xr:uid="{00000000-0005-0000-0000-000031050000}"/>
    <cellStyle name="Calculation 17 2 11 2 3" xfId="8519" xr:uid="{00000000-0005-0000-0000-000032050000}"/>
    <cellStyle name="Calculation 17 2 11 2 4" xfId="9840" xr:uid="{00000000-0005-0000-0000-000033050000}"/>
    <cellStyle name="Calculation 17 2 11 3" xfId="5049" xr:uid="{00000000-0005-0000-0000-000034050000}"/>
    <cellStyle name="Calculation 17 2 11 4" xfId="7926" xr:uid="{00000000-0005-0000-0000-000035050000}"/>
    <cellStyle name="Calculation 17 2 11 5" xfId="10921" xr:uid="{00000000-0005-0000-0000-000036050000}"/>
    <cellStyle name="Calculation 17 2 12" xfId="2672" xr:uid="{00000000-0005-0000-0000-000037050000}"/>
    <cellStyle name="Calculation 17 2 12 2" xfId="6256" xr:uid="{00000000-0005-0000-0000-000038050000}"/>
    <cellStyle name="Calculation 17 2 12 3" xfId="8269" xr:uid="{00000000-0005-0000-0000-000039050000}"/>
    <cellStyle name="Calculation 17 2 12 4" xfId="9609" xr:uid="{00000000-0005-0000-0000-00003A050000}"/>
    <cellStyle name="Calculation 17 2 13" xfId="4745" xr:uid="{00000000-0005-0000-0000-00003B050000}"/>
    <cellStyle name="Calculation 17 2 14" xfId="4207" xr:uid="{00000000-0005-0000-0000-00003C050000}"/>
    <cellStyle name="Calculation 17 2 15" xfId="7982" xr:uid="{00000000-0005-0000-0000-00003D050000}"/>
    <cellStyle name="Calculation 17 2 2" xfId="1699" xr:uid="{00000000-0005-0000-0000-00003E050000}"/>
    <cellStyle name="Calculation 17 2 2 2" xfId="3177" xr:uid="{00000000-0005-0000-0000-00003F050000}"/>
    <cellStyle name="Calculation 17 2 2 2 2" xfId="6751" xr:uid="{00000000-0005-0000-0000-000040050000}"/>
    <cellStyle name="Calculation 17 2 2 2 3" xfId="8728" xr:uid="{00000000-0005-0000-0000-000041050000}"/>
    <cellStyle name="Calculation 17 2 2 2 4" xfId="10032" xr:uid="{00000000-0005-0000-0000-000042050000}"/>
    <cellStyle name="Calculation 17 2 2 3" xfId="5291" xr:uid="{00000000-0005-0000-0000-000043050000}"/>
    <cellStyle name="Calculation 17 2 2 4" xfId="4380" xr:uid="{00000000-0005-0000-0000-000044050000}"/>
    <cellStyle name="Calculation 17 2 2 5" xfId="11109" xr:uid="{00000000-0005-0000-0000-000045050000}"/>
    <cellStyle name="Calculation 17 2 3" xfId="1866" xr:uid="{00000000-0005-0000-0000-000046050000}"/>
    <cellStyle name="Calculation 17 2 3 2" xfId="3337" xr:uid="{00000000-0005-0000-0000-000047050000}"/>
    <cellStyle name="Calculation 17 2 3 2 2" xfId="6907" xr:uid="{00000000-0005-0000-0000-000048050000}"/>
    <cellStyle name="Calculation 17 2 3 2 3" xfId="8875" xr:uid="{00000000-0005-0000-0000-000049050000}"/>
    <cellStyle name="Calculation 17 2 3 2 4" xfId="10165" xr:uid="{00000000-0005-0000-0000-00004A050000}"/>
    <cellStyle name="Calculation 17 2 3 3" xfId="5454" xr:uid="{00000000-0005-0000-0000-00004B050000}"/>
    <cellStyle name="Calculation 17 2 3 4" xfId="4222" xr:uid="{00000000-0005-0000-0000-00004C050000}"/>
    <cellStyle name="Calculation 17 2 3 5" xfId="11243" xr:uid="{00000000-0005-0000-0000-00004D050000}"/>
    <cellStyle name="Calculation 17 2 4" xfId="1796" xr:uid="{00000000-0005-0000-0000-00004E050000}"/>
    <cellStyle name="Calculation 17 2 4 2" xfId="3273" xr:uid="{00000000-0005-0000-0000-00004F050000}"/>
    <cellStyle name="Calculation 17 2 4 2 2" xfId="6845" xr:uid="{00000000-0005-0000-0000-000050050000}"/>
    <cellStyle name="Calculation 17 2 4 2 3" xfId="8820" xr:uid="{00000000-0005-0000-0000-000051050000}"/>
    <cellStyle name="Calculation 17 2 4 2 4" xfId="10117" xr:uid="{00000000-0005-0000-0000-000052050000}"/>
    <cellStyle name="Calculation 17 2 4 3" xfId="5387" xr:uid="{00000000-0005-0000-0000-000053050000}"/>
    <cellStyle name="Calculation 17 2 4 4" xfId="4420" xr:uid="{00000000-0005-0000-0000-000054050000}"/>
    <cellStyle name="Calculation 17 2 4 5" xfId="11194" xr:uid="{00000000-0005-0000-0000-000055050000}"/>
    <cellStyle name="Calculation 17 2 5" xfId="1273" xr:uid="{00000000-0005-0000-0000-000056050000}"/>
    <cellStyle name="Calculation 17 2 5 2" xfId="2774" xr:uid="{00000000-0005-0000-0000-000057050000}"/>
    <cellStyle name="Calculation 17 2 5 2 2" xfId="6353" xr:uid="{00000000-0005-0000-0000-000058050000}"/>
    <cellStyle name="Calculation 17 2 5 2 3" xfId="8361" xr:uid="{00000000-0005-0000-0000-000059050000}"/>
    <cellStyle name="Calculation 17 2 5 2 4" xfId="9686" xr:uid="{00000000-0005-0000-0000-00005A050000}"/>
    <cellStyle name="Calculation 17 2 5 3" xfId="4871" xr:uid="{00000000-0005-0000-0000-00005B050000}"/>
    <cellStyle name="Calculation 17 2 5 4" xfId="8089" xr:uid="{00000000-0005-0000-0000-00005C050000}"/>
    <cellStyle name="Calculation 17 2 5 5" xfId="4109" xr:uid="{00000000-0005-0000-0000-00005D050000}"/>
    <cellStyle name="Calculation 17 2 6" xfId="1485" xr:uid="{00000000-0005-0000-0000-00005E050000}"/>
    <cellStyle name="Calculation 17 2 6 2" xfId="2970" xr:uid="{00000000-0005-0000-0000-00005F050000}"/>
    <cellStyle name="Calculation 17 2 6 2 2" xfId="6547" xr:uid="{00000000-0005-0000-0000-000060050000}"/>
    <cellStyle name="Calculation 17 2 6 2 3" xfId="8548" xr:uid="{00000000-0005-0000-0000-000061050000}"/>
    <cellStyle name="Calculation 17 2 6 2 4" xfId="9871" xr:uid="{00000000-0005-0000-0000-000062050000}"/>
    <cellStyle name="Calculation 17 2 6 3" xfId="5082" xr:uid="{00000000-0005-0000-0000-000063050000}"/>
    <cellStyle name="Calculation 17 2 6 4" xfId="4059" xr:uid="{00000000-0005-0000-0000-000064050000}"/>
    <cellStyle name="Calculation 17 2 6 5" xfId="10952" xr:uid="{00000000-0005-0000-0000-000065050000}"/>
    <cellStyle name="Calculation 17 2 7" xfId="1627" xr:uid="{00000000-0005-0000-0000-000066050000}"/>
    <cellStyle name="Calculation 17 2 7 2" xfId="3110" xr:uid="{00000000-0005-0000-0000-000067050000}"/>
    <cellStyle name="Calculation 17 2 7 2 2" xfId="6686" xr:uid="{00000000-0005-0000-0000-000068050000}"/>
    <cellStyle name="Calculation 17 2 7 2 3" xfId="8673" xr:uid="{00000000-0005-0000-0000-000069050000}"/>
    <cellStyle name="Calculation 17 2 7 2 4" xfId="9989" xr:uid="{00000000-0005-0000-0000-00006A050000}"/>
    <cellStyle name="Calculation 17 2 7 3" xfId="5223" xr:uid="{00000000-0005-0000-0000-00006B050000}"/>
    <cellStyle name="Calculation 17 2 7 4" xfId="7844" xr:uid="{00000000-0005-0000-0000-00006C050000}"/>
    <cellStyle name="Calculation 17 2 7 5" xfId="11071" xr:uid="{00000000-0005-0000-0000-00006D050000}"/>
    <cellStyle name="Calculation 17 2 8" xfId="2254" xr:uid="{00000000-0005-0000-0000-00006E050000}"/>
    <cellStyle name="Calculation 17 2 8 2" xfId="3711" xr:uid="{00000000-0005-0000-0000-00006F050000}"/>
    <cellStyle name="Calculation 17 2 8 2 2" xfId="7281" xr:uid="{00000000-0005-0000-0000-000070050000}"/>
    <cellStyle name="Calculation 17 2 8 2 3" xfId="9246" xr:uid="{00000000-0005-0000-0000-000071050000}"/>
    <cellStyle name="Calculation 17 2 8 2 4" xfId="10538" xr:uid="{00000000-0005-0000-0000-000072050000}"/>
    <cellStyle name="Calculation 17 2 8 3" xfId="5842" xr:uid="{00000000-0005-0000-0000-000073050000}"/>
    <cellStyle name="Calculation 17 2 8 4" xfId="4547" xr:uid="{00000000-0005-0000-0000-000074050000}"/>
    <cellStyle name="Calculation 17 2 8 5" xfId="11620" xr:uid="{00000000-0005-0000-0000-000075050000}"/>
    <cellStyle name="Calculation 17 2 9" xfId="2346" xr:uid="{00000000-0005-0000-0000-000076050000}"/>
    <cellStyle name="Calculation 17 2 9 2" xfId="3802" xr:uid="{00000000-0005-0000-0000-000077050000}"/>
    <cellStyle name="Calculation 17 2 9 2 2" xfId="7372" xr:uid="{00000000-0005-0000-0000-000078050000}"/>
    <cellStyle name="Calculation 17 2 9 2 3" xfId="9335" xr:uid="{00000000-0005-0000-0000-000079050000}"/>
    <cellStyle name="Calculation 17 2 9 2 4" xfId="10629" xr:uid="{00000000-0005-0000-0000-00007A050000}"/>
    <cellStyle name="Calculation 17 2 9 3" xfId="5934" xr:uid="{00000000-0005-0000-0000-00007B050000}"/>
    <cellStyle name="Calculation 17 2 9 4" xfId="4026" xr:uid="{00000000-0005-0000-0000-00007C050000}"/>
    <cellStyle name="Calculation 17 2 9 5" xfId="11711" xr:uid="{00000000-0005-0000-0000-00007D050000}"/>
    <cellStyle name="Calculation 17 3" xfId="1426" xr:uid="{00000000-0005-0000-0000-00007E050000}"/>
    <cellStyle name="Calculation 17 3 2" xfId="2913" xr:uid="{00000000-0005-0000-0000-00007F050000}"/>
    <cellStyle name="Calculation 17 3 2 2" xfId="6491" xr:uid="{00000000-0005-0000-0000-000080050000}"/>
    <cellStyle name="Calculation 17 3 2 3" xfId="8493" xr:uid="{00000000-0005-0000-0000-000081050000}"/>
    <cellStyle name="Calculation 17 3 2 4" xfId="9816" xr:uid="{00000000-0005-0000-0000-000082050000}"/>
    <cellStyle name="Calculation 17 3 3" xfId="5024" xr:uid="{00000000-0005-0000-0000-000083050000}"/>
    <cellStyle name="Calculation 17 3 4" xfId="4764" xr:uid="{00000000-0005-0000-0000-000084050000}"/>
    <cellStyle name="Calculation 17 3 5" xfId="10898" xr:uid="{00000000-0005-0000-0000-000085050000}"/>
    <cellStyle name="Calculation 17 4" xfId="1611" xr:uid="{00000000-0005-0000-0000-000086050000}"/>
    <cellStyle name="Calculation 17 4 2" xfId="3094" xr:uid="{00000000-0005-0000-0000-000087050000}"/>
    <cellStyle name="Calculation 17 4 2 2" xfId="6671" xr:uid="{00000000-0005-0000-0000-000088050000}"/>
    <cellStyle name="Calculation 17 4 2 3" xfId="8659" xr:uid="{00000000-0005-0000-0000-000089050000}"/>
    <cellStyle name="Calculation 17 4 2 4" xfId="9975" xr:uid="{00000000-0005-0000-0000-00008A050000}"/>
    <cellStyle name="Calculation 17 4 3" xfId="5208" xr:uid="{00000000-0005-0000-0000-00008B050000}"/>
    <cellStyle name="Calculation 17 4 4" xfId="9413" xr:uid="{00000000-0005-0000-0000-00008C050000}"/>
    <cellStyle name="Calculation 17 4 5" xfId="11057" xr:uid="{00000000-0005-0000-0000-00008D050000}"/>
    <cellStyle name="Calculation 17 5" xfId="1568" xr:uid="{00000000-0005-0000-0000-00008E050000}"/>
    <cellStyle name="Calculation 17 5 2" xfId="3051" xr:uid="{00000000-0005-0000-0000-00008F050000}"/>
    <cellStyle name="Calculation 17 5 2 2" xfId="6628" xr:uid="{00000000-0005-0000-0000-000090050000}"/>
    <cellStyle name="Calculation 17 5 2 3" xfId="8618" xr:uid="{00000000-0005-0000-0000-000091050000}"/>
    <cellStyle name="Calculation 17 5 2 4" xfId="9935" xr:uid="{00000000-0005-0000-0000-000092050000}"/>
    <cellStyle name="Calculation 17 5 3" xfId="5165" xr:uid="{00000000-0005-0000-0000-000093050000}"/>
    <cellStyle name="Calculation 17 5 4" xfId="9348" xr:uid="{00000000-0005-0000-0000-000094050000}"/>
    <cellStyle name="Calculation 17 5 5" xfId="11017" xr:uid="{00000000-0005-0000-0000-000095050000}"/>
    <cellStyle name="Calculation 17 6" xfId="2563" xr:uid="{00000000-0005-0000-0000-000096050000}"/>
    <cellStyle name="Calculation 17 6 2" xfId="6151" xr:uid="{00000000-0005-0000-0000-000097050000}"/>
    <cellStyle name="Calculation 17 6 3" xfId="8177" xr:uid="{00000000-0005-0000-0000-000098050000}"/>
    <cellStyle name="Calculation 17 6 4" xfId="9530" xr:uid="{00000000-0005-0000-0000-000099050000}"/>
    <cellStyle name="Calculation 17 7" xfId="4306" xr:uid="{00000000-0005-0000-0000-00009A050000}"/>
    <cellStyle name="Calculation 17 8" xfId="5471" xr:uid="{00000000-0005-0000-0000-00009B050000}"/>
    <cellStyle name="Calculation 17 9" xfId="7984" xr:uid="{00000000-0005-0000-0000-00009C050000}"/>
    <cellStyle name="Calculation 18" xfId="651" xr:uid="{00000000-0005-0000-0000-00009D050000}"/>
    <cellStyle name="Calculation 18 2" xfId="1147" xr:uid="{00000000-0005-0000-0000-00009E050000}"/>
    <cellStyle name="Calculation 18 2 10" xfId="1714" xr:uid="{00000000-0005-0000-0000-00009F050000}"/>
    <cellStyle name="Calculation 18 2 10 2" xfId="3191" xr:uid="{00000000-0005-0000-0000-0000A0050000}"/>
    <cellStyle name="Calculation 18 2 10 2 2" xfId="6764" xr:uid="{00000000-0005-0000-0000-0000A1050000}"/>
    <cellStyle name="Calculation 18 2 10 2 3" xfId="8742" xr:uid="{00000000-0005-0000-0000-0000A2050000}"/>
    <cellStyle name="Calculation 18 2 10 2 4" xfId="10044" xr:uid="{00000000-0005-0000-0000-0000A3050000}"/>
    <cellStyle name="Calculation 18 2 10 3" xfId="5306" xr:uid="{00000000-0005-0000-0000-0000A4050000}"/>
    <cellStyle name="Calculation 18 2 10 4" xfId="4389" xr:uid="{00000000-0005-0000-0000-0000A5050000}"/>
    <cellStyle name="Calculation 18 2 10 5" xfId="11121" xr:uid="{00000000-0005-0000-0000-0000A6050000}"/>
    <cellStyle name="Calculation 18 2 11" xfId="1378" xr:uid="{00000000-0005-0000-0000-0000A7050000}"/>
    <cellStyle name="Calculation 18 2 11 2" xfId="2874" xr:uid="{00000000-0005-0000-0000-0000A8050000}"/>
    <cellStyle name="Calculation 18 2 11 2 2" xfId="6453" xr:uid="{00000000-0005-0000-0000-0000A9050000}"/>
    <cellStyle name="Calculation 18 2 11 2 3" xfId="8454" xr:uid="{00000000-0005-0000-0000-0000AA050000}"/>
    <cellStyle name="Calculation 18 2 11 2 4" xfId="9779" xr:uid="{00000000-0005-0000-0000-0000AB050000}"/>
    <cellStyle name="Calculation 18 2 11 3" xfId="4976" xr:uid="{00000000-0005-0000-0000-0000AC050000}"/>
    <cellStyle name="Calculation 18 2 11 4" xfId="7812" xr:uid="{00000000-0005-0000-0000-0000AD050000}"/>
    <cellStyle name="Calculation 18 2 11 5" xfId="10861" xr:uid="{00000000-0005-0000-0000-0000AE050000}"/>
    <cellStyle name="Calculation 18 2 12" xfId="2673" xr:uid="{00000000-0005-0000-0000-0000AF050000}"/>
    <cellStyle name="Calculation 18 2 12 2" xfId="6257" xr:uid="{00000000-0005-0000-0000-0000B0050000}"/>
    <cellStyle name="Calculation 18 2 12 3" xfId="8270" xr:uid="{00000000-0005-0000-0000-0000B1050000}"/>
    <cellStyle name="Calculation 18 2 12 4" xfId="9610" xr:uid="{00000000-0005-0000-0000-0000B2050000}"/>
    <cellStyle name="Calculation 18 2 13" xfId="4746" xr:uid="{00000000-0005-0000-0000-0000B3050000}"/>
    <cellStyle name="Calculation 18 2 14" xfId="4206" xr:uid="{00000000-0005-0000-0000-0000B4050000}"/>
    <cellStyle name="Calculation 18 2 15" xfId="7965" xr:uid="{00000000-0005-0000-0000-0000B5050000}"/>
    <cellStyle name="Calculation 18 2 2" xfId="1700" xr:uid="{00000000-0005-0000-0000-0000B6050000}"/>
    <cellStyle name="Calculation 18 2 2 2" xfId="3178" xr:uid="{00000000-0005-0000-0000-0000B7050000}"/>
    <cellStyle name="Calculation 18 2 2 2 2" xfId="6752" xr:uid="{00000000-0005-0000-0000-0000B8050000}"/>
    <cellStyle name="Calculation 18 2 2 2 3" xfId="8729" xr:uid="{00000000-0005-0000-0000-0000B9050000}"/>
    <cellStyle name="Calculation 18 2 2 2 4" xfId="10033" xr:uid="{00000000-0005-0000-0000-0000BA050000}"/>
    <cellStyle name="Calculation 18 2 2 3" xfId="5292" xr:uid="{00000000-0005-0000-0000-0000BB050000}"/>
    <cellStyle name="Calculation 18 2 2 4" xfId="5281" xr:uid="{00000000-0005-0000-0000-0000BC050000}"/>
    <cellStyle name="Calculation 18 2 2 5" xfId="11110" xr:uid="{00000000-0005-0000-0000-0000BD050000}"/>
    <cellStyle name="Calculation 18 2 3" xfId="1867" xr:uid="{00000000-0005-0000-0000-0000BE050000}"/>
    <cellStyle name="Calculation 18 2 3 2" xfId="3338" xr:uid="{00000000-0005-0000-0000-0000BF050000}"/>
    <cellStyle name="Calculation 18 2 3 2 2" xfId="6908" xr:uid="{00000000-0005-0000-0000-0000C0050000}"/>
    <cellStyle name="Calculation 18 2 3 2 3" xfId="8876" xr:uid="{00000000-0005-0000-0000-0000C1050000}"/>
    <cellStyle name="Calculation 18 2 3 2 4" xfId="10166" xr:uid="{00000000-0005-0000-0000-0000C2050000}"/>
    <cellStyle name="Calculation 18 2 3 3" xfId="5455" xr:uid="{00000000-0005-0000-0000-0000C3050000}"/>
    <cellStyle name="Calculation 18 2 3 4" xfId="4672" xr:uid="{00000000-0005-0000-0000-0000C4050000}"/>
    <cellStyle name="Calculation 18 2 3 5" xfId="11244" xr:uid="{00000000-0005-0000-0000-0000C5050000}"/>
    <cellStyle name="Calculation 18 2 4" xfId="1286" xr:uid="{00000000-0005-0000-0000-0000C6050000}"/>
    <cellStyle name="Calculation 18 2 4 2" xfId="2786" xr:uid="{00000000-0005-0000-0000-0000C7050000}"/>
    <cellStyle name="Calculation 18 2 4 2 2" xfId="6365" xr:uid="{00000000-0005-0000-0000-0000C8050000}"/>
    <cellStyle name="Calculation 18 2 4 2 3" xfId="8372" xr:uid="{00000000-0005-0000-0000-0000C9050000}"/>
    <cellStyle name="Calculation 18 2 4 2 4" xfId="9697" xr:uid="{00000000-0005-0000-0000-0000CA050000}"/>
    <cellStyle name="Calculation 18 2 4 3" xfId="4884" xr:uid="{00000000-0005-0000-0000-0000CB050000}"/>
    <cellStyle name="Calculation 18 2 4 4" xfId="8088" xr:uid="{00000000-0005-0000-0000-0000CC050000}"/>
    <cellStyle name="Calculation 18 2 4 5" xfId="4251" xr:uid="{00000000-0005-0000-0000-0000CD050000}"/>
    <cellStyle name="Calculation 18 2 5" xfId="1313" xr:uid="{00000000-0005-0000-0000-0000CE050000}"/>
    <cellStyle name="Calculation 18 2 5 2" xfId="2813" xr:uid="{00000000-0005-0000-0000-0000CF050000}"/>
    <cellStyle name="Calculation 18 2 5 2 2" xfId="6392" xr:uid="{00000000-0005-0000-0000-0000D0050000}"/>
    <cellStyle name="Calculation 18 2 5 2 3" xfId="8395" xr:uid="{00000000-0005-0000-0000-0000D1050000}"/>
    <cellStyle name="Calculation 18 2 5 2 4" xfId="9718" xr:uid="{00000000-0005-0000-0000-0000D2050000}"/>
    <cellStyle name="Calculation 18 2 5 3" xfId="4911" xr:uid="{00000000-0005-0000-0000-0000D3050000}"/>
    <cellStyle name="Calculation 18 2 5 4" xfId="8044" xr:uid="{00000000-0005-0000-0000-0000D4050000}"/>
    <cellStyle name="Calculation 18 2 5 5" xfId="8674" xr:uid="{00000000-0005-0000-0000-0000D5050000}"/>
    <cellStyle name="Calculation 18 2 6" xfId="1486" xr:uid="{00000000-0005-0000-0000-0000D6050000}"/>
    <cellStyle name="Calculation 18 2 6 2" xfId="2971" xr:uid="{00000000-0005-0000-0000-0000D7050000}"/>
    <cellStyle name="Calculation 18 2 6 2 2" xfId="6548" xr:uid="{00000000-0005-0000-0000-0000D8050000}"/>
    <cellStyle name="Calculation 18 2 6 2 3" xfId="8549" xr:uid="{00000000-0005-0000-0000-0000D9050000}"/>
    <cellStyle name="Calculation 18 2 6 2 4" xfId="9872" xr:uid="{00000000-0005-0000-0000-0000DA050000}"/>
    <cellStyle name="Calculation 18 2 6 3" xfId="5083" xr:uid="{00000000-0005-0000-0000-0000DB050000}"/>
    <cellStyle name="Calculation 18 2 6 4" xfId="9417" xr:uid="{00000000-0005-0000-0000-0000DC050000}"/>
    <cellStyle name="Calculation 18 2 6 5" xfId="10953" xr:uid="{00000000-0005-0000-0000-0000DD050000}"/>
    <cellStyle name="Calculation 18 2 7" xfId="1624" xr:uid="{00000000-0005-0000-0000-0000DE050000}"/>
    <cellStyle name="Calculation 18 2 7 2" xfId="3107" xr:uid="{00000000-0005-0000-0000-0000DF050000}"/>
    <cellStyle name="Calculation 18 2 7 2 2" xfId="6683" xr:uid="{00000000-0005-0000-0000-0000E0050000}"/>
    <cellStyle name="Calculation 18 2 7 2 3" xfId="8670" xr:uid="{00000000-0005-0000-0000-0000E1050000}"/>
    <cellStyle name="Calculation 18 2 7 2 4" xfId="9987" xr:uid="{00000000-0005-0000-0000-0000E2050000}"/>
    <cellStyle name="Calculation 18 2 7 3" xfId="5220" xr:uid="{00000000-0005-0000-0000-0000E3050000}"/>
    <cellStyle name="Calculation 18 2 7 4" xfId="8561" xr:uid="{00000000-0005-0000-0000-0000E4050000}"/>
    <cellStyle name="Calculation 18 2 7 5" xfId="11069" xr:uid="{00000000-0005-0000-0000-0000E5050000}"/>
    <cellStyle name="Calculation 18 2 8" xfId="2255" xr:uid="{00000000-0005-0000-0000-0000E6050000}"/>
    <cellStyle name="Calculation 18 2 8 2" xfId="3712" xr:uid="{00000000-0005-0000-0000-0000E7050000}"/>
    <cellStyle name="Calculation 18 2 8 2 2" xfId="7282" xr:uid="{00000000-0005-0000-0000-0000E8050000}"/>
    <cellStyle name="Calculation 18 2 8 2 3" xfId="9247" xr:uid="{00000000-0005-0000-0000-0000E9050000}"/>
    <cellStyle name="Calculation 18 2 8 2 4" xfId="10539" xr:uid="{00000000-0005-0000-0000-0000EA050000}"/>
    <cellStyle name="Calculation 18 2 8 3" xfId="5843" xr:uid="{00000000-0005-0000-0000-0000EB050000}"/>
    <cellStyle name="Calculation 18 2 8 4" xfId="4548" xr:uid="{00000000-0005-0000-0000-0000EC050000}"/>
    <cellStyle name="Calculation 18 2 8 5" xfId="11621" xr:uid="{00000000-0005-0000-0000-0000ED050000}"/>
    <cellStyle name="Calculation 18 2 9" xfId="2347" xr:uid="{00000000-0005-0000-0000-0000EE050000}"/>
    <cellStyle name="Calculation 18 2 9 2" xfId="3803" xr:uid="{00000000-0005-0000-0000-0000EF050000}"/>
    <cellStyle name="Calculation 18 2 9 2 2" xfId="7373" xr:uid="{00000000-0005-0000-0000-0000F0050000}"/>
    <cellStyle name="Calculation 18 2 9 2 3" xfId="9336" xr:uid="{00000000-0005-0000-0000-0000F1050000}"/>
    <cellStyle name="Calculation 18 2 9 2 4" xfId="10630" xr:uid="{00000000-0005-0000-0000-0000F2050000}"/>
    <cellStyle name="Calculation 18 2 9 3" xfId="5935" xr:uid="{00000000-0005-0000-0000-0000F3050000}"/>
    <cellStyle name="Calculation 18 2 9 4" xfId="4721" xr:uid="{00000000-0005-0000-0000-0000F4050000}"/>
    <cellStyle name="Calculation 18 2 9 5" xfId="11712" xr:uid="{00000000-0005-0000-0000-0000F5050000}"/>
    <cellStyle name="Calculation 18 3" xfId="1427" xr:uid="{00000000-0005-0000-0000-0000F6050000}"/>
    <cellStyle name="Calculation 18 3 2" xfId="2914" xr:uid="{00000000-0005-0000-0000-0000F7050000}"/>
    <cellStyle name="Calculation 18 3 2 2" xfId="6492" xr:uid="{00000000-0005-0000-0000-0000F8050000}"/>
    <cellStyle name="Calculation 18 3 2 3" xfId="8494" xr:uid="{00000000-0005-0000-0000-0000F9050000}"/>
    <cellStyle name="Calculation 18 3 2 4" xfId="9817" xr:uid="{00000000-0005-0000-0000-0000FA050000}"/>
    <cellStyle name="Calculation 18 3 3" xfId="5025" xr:uid="{00000000-0005-0000-0000-0000FB050000}"/>
    <cellStyle name="Calculation 18 3 4" xfId="4666" xr:uid="{00000000-0005-0000-0000-0000FC050000}"/>
    <cellStyle name="Calculation 18 3 5" xfId="10899" xr:uid="{00000000-0005-0000-0000-0000FD050000}"/>
    <cellStyle name="Calculation 18 4" xfId="1478" xr:uid="{00000000-0005-0000-0000-0000FE050000}"/>
    <cellStyle name="Calculation 18 4 2" xfId="2963" xr:uid="{00000000-0005-0000-0000-0000FF050000}"/>
    <cellStyle name="Calculation 18 4 2 2" xfId="6540" xr:uid="{00000000-0005-0000-0000-000000060000}"/>
    <cellStyle name="Calculation 18 4 2 3" xfId="8541" xr:uid="{00000000-0005-0000-0000-000001060000}"/>
    <cellStyle name="Calculation 18 4 2 4" xfId="9864" xr:uid="{00000000-0005-0000-0000-000002060000}"/>
    <cellStyle name="Calculation 18 4 3" xfId="5075" xr:uid="{00000000-0005-0000-0000-000003060000}"/>
    <cellStyle name="Calculation 18 4 4" xfId="8666" xr:uid="{00000000-0005-0000-0000-000004060000}"/>
    <cellStyle name="Calculation 18 4 5" xfId="10945" xr:uid="{00000000-0005-0000-0000-000005060000}"/>
    <cellStyle name="Calculation 18 5" xfId="1505" xr:uid="{00000000-0005-0000-0000-000006060000}"/>
    <cellStyle name="Calculation 18 5 2" xfId="2990" xr:uid="{00000000-0005-0000-0000-000007060000}"/>
    <cellStyle name="Calculation 18 5 2 2" xfId="6567" xr:uid="{00000000-0005-0000-0000-000008060000}"/>
    <cellStyle name="Calculation 18 5 2 3" xfId="8568" xr:uid="{00000000-0005-0000-0000-000009060000}"/>
    <cellStyle name="Calculation 18 5 2 4" xfId="9891" xr:uid="{00000000-0005-0000-0000-00000A060000}"/>
    <cellStyle name="Calculation 18 5 3" xfId="5102" xr:uid="{00000000-0005-0000-0000-00000B060000}"/>
    <cellStyle name="Calculation 18 5 4" xfId="8891" xr:uid="{00000000-0005-0000-0000-00000C060000}"/>
    <cellStyle name="Calculation 18 5 5" xfId="10972" xr:uid="{00000000-0005-0000-0000-00000D060000}"/>
    <cellStyle name="Calculation 18 6" xfId="2564" xr:uid="{00000000-0005-0000-0000-00000E060000}"/>
    <cellStyle name="Calculation 18 6 2" xfId="6152" xr:uid="{00000000-0005-0000-0000-00000F060000}"/>
    <cellStyle name="Calculation 18 6 3" xfId="8178" xr:uid="{00000000-0005-0000-0000-000010060000}"/>
    <cellStyle name="Calculation 18 6 4" xfId="9531" xr:uid="{00000000-0005-0000-0000-000011060000}"/>
    <cellStyle name="Calculation 18 7" xfId="4307" xr:uid="{00000000-0005-0000-0000-000012060000}"/>
    <cellStyle name="Calculation 18 8" xfId="4450" xr:uid="{00000000-0005-0000-0000-000013060000}"/>
    <cellStyle name="Calculation 18 9" xfId="4057" xr:uid="{00000000-0005-0000-0000-000014060000}"/>
    <cellStyle name="Calculation 19" xfId="652" xr:uid="{00000000-0005-0000-0000-000015060000}"/>
    <cellStyle name="Calculation 19 2" xfId="1148" xr:uid="{00000000-0005-0000-0000-000016060000}"/>
    <cellStyle name="Calculation 19 2 10" xfId="1646" xr:uid="{00000000-0005-0000-0000-000017060000}"/>
    <cellStyle name="Calculation 19 2 10 2" xfId="3124" xr:uid="{00000000-0005-0000-0000-000018060000}"/>
    <cellStyle name="Calculation 19 2 10 2 2" xfId="6700" xr:uid="{00000000-0005-0000-0000-000019060000}"/>
    <cellStyle name="Calculation 19 2 10 2 3" xfId="8687" xr:uid="{00000000-0005-0000-0000-00001A060000}"/>
    <cellStyle name="Calculation 19 2 10 2 4" xfId="10000" xr:uid="{00000000-0005-0000-0000-00001B060000}"/>
    <cellStyle name="Calculation 19 2 10 3" xfId="5240" xr:uid="{00000000-0005-0000-0000-00001C060000}"/>
    <cellStyle name="Calculation 19 2 10 4" xfId="8033" xr:uid="{00000000-0005-0000-0000-00001D060000}"/>
    <cellStyle name="Calculation 19 2 10 5" xfId="11078" xr:uid="{00000000-0005-0000-0000-00001E060000}"/>
    <cellStyle name="Calculation 19 2 11" xfId="1511" xr:uid="{00000000-0005-0000-0000-00001F060000}"/>
    <cellStyle name="Calculation 19 2 11 2" xfId="2995" xr:uid="{00000000-0005-0000-0000-000020060000}"/>
    <cellStyle name="Calculation 19 2 11 2 2" xfId="6572" xr:uid="{00000000-0005-0000-0000-000021060000}"/>
    <cellStyle name="Calculation 19 2 11 2 3" xfId="8573" xr:uid="{00000000-0005-0000-0000-000022060000}"/>
    <cellStyle name="Calculation 19 2 11 2 4" xfId="9896" xr:uid="{00000000-0005-0000-0000-000023060000}"/>
    <cellStyle name="Calculation 19 2 11 3" xfId="5108" xr:uid="{00000000-0005-0000-0000-000024060000}"/>
    <cellStyle name="Calculation 19 2 11 4" xfId="9416" xr:uid="{00000000-0005-0000-0000-000025060000}"/>
    <cellStyle name="Calculation 19 2 11 5" xfId="10978" xr:uid="{00000000-0005-0000-0000-000026060000}"/>
    <cellStyle name="Calculation 19 2 12" xfId="2674" xr:uid="{00000000-0005-0000-0000-000027060000}"/>
    <cellStyle name="Calculation 19 2 12 2" xfId="6258" xr:uid="{00000000-0005-0000-0000-000028060000}"/>
    <cellStyle name="Calculation 19 2 12 3" xfId="8271" xr:uid="{00000000-0005-0000-0000-000029060000}"/>
    <cellStyle name="Calculation 19 2 12 4" xfId="9611" xr:uid="{00000000-0005-0000-0000-00002A060000}"/>
    <cellStyle name="Calculation 19 2 13" xfId="4747" xr:uid="{00000000-0005-0000-0000-00002B060000}"/>
    <cellStyle name="Calculation 19 2 14" xfId="4205" xr:uid="{00000000-0005-0000-0000-00002C060000}"/>
    <cellStyle name="Calculation 19 2 15" xfId="7944" xr:uid="{00000000-0005-0000-0000-00002D060000}"/>
    <cellStyle name="Calculation 19 2 2" xfId="1701" xr:uid="{00000000-0005-0000-0000-00002E060000}"/>
    <cellStyle name="Calculation 19 2 2 2" xfId="3179" xr:uid="{00000000-0005-0000-0000-00002F060000}"/>
    <cellStyle name="Calculation 19 2 2 2 2" xfId="6753" xr:uid="{00000000-0005-0000-0000-000030060000}"/>
    <cellStyle name="Calculation 19 2 2 2 3" xfId="8730" xr:uid="{00000000-0005-0000-0000-000031060000}"/>
    <cellStyle name="Calculation 19 2 2 2 4" xfId="10034" xr:uid="{00000000-0005-0000-0000-000032060000}"/>
    <cellStyle name="Calculation 19 2 2 3" xfId="5293" xr:uid="{00000000-0005-0000-0000-000033060000}"/>
    <cellStyle name="Calculation 19 2 2 4" xfId="4381" xr:uid="{00000000-0005-0000-0000-000034060000}"/>
    <cellStyle name="Calculation 19 2 2 5" xfId="11111" xr:uid="{00000000-0005-0000-0000-000035060000}"/>
    <cellStyle name="Calculation 19 2 3" xfId="1868" xr:uid="{00000000-0005-0000-0000-000036060000}"/>
    <cellStyle name="Calculation 19 2 3 2" xfId="3339" xr:uid="{00000000-0005-0000-0000-000037060000}"/>
    <cellStyle name="Calculation 19 2 3 2 2" xfId="6909" xr:uid="{00000000-0005-0000-0000-000038060000}"/>
    <cellStyle name="Calculation 19 2 3 2 3" xfId="8877" xr:uid="{00000000-0005-0000-0000-000039060000}"/>
    <cellStyle name="Calculation 19 2 3 2 4" xfId="10167" xr:uid="{00000000-0005-0000-0000-00003A060000}"/>
    <cellStyle name="Calculation 19 2 3 3" xfId="5456" xr:uid="{00000000-0005-0000-0000-00003B060000}"/>
    <cellStyle name="Calculation 19 2 3 4" xfId="4439" xr:uid="{00000000-0005-0000-0000-00003C060000}"/>
    <cellStyle name="Calculation 19 2 3 5" xfId="11245" xr:uid="{00000000-0005-0000-0000-00003D060000}"/>
    <cellStyle name="Calculation 19 2 4" xfId="1296" xr:uid="{00000000-0005-0000-0000-00003E060000}"/>
    <cellStyle name="Calculation 19 2 4 2" xfId="2796" xr:uid="{00000000-0005-0000-0000-00003F060000}"/>
    <cellStyle name="Calculation 19 2 4 2 2" xfId="6375" xr:uid="{00000000-0005-0000-0000-000040060000}"/>
    <cellStyle name="Calculation 19 2 4 2 3" xfId="8381" xr:uid="{00000000-0005-0000-0000-000041060000}"/>
    <cellStyle name="Calculation 19 2 4 2 4" xfId="9706" xr:uid="{00000000-0005-0000-0000-000042060000}"/>
    <cellStyle name="Calculation 19 2 4 3" xfId="4894" xr:uid="{00000000-0005-0000-0000-000043060000}"/>
    <cellStyle name="Calculation 19 2 4 4" xfId="7632" xr:uid="{00000000-0005-0000-0000-000044060000}"/>
    <cellStyle name="Calculation 19 2 4 5" xfId="4236" xr:uid="{00000000-0005-0000-0000-000045060000}"/>
    <cellStyle name="Calculation 19 2 5" xfId="1312" xr:uid="{00000000-0005-0000-0000-000046060000}"/>
    <cellStyle name="Calculation 19 2 5 2" xfId="2812" xr:uid="{00000000-0005-0000-0000-000047060000}"/>
    <cellStyle name="Calculation 19 2 5 2 2" xfId="6391" xr:uid="{00000000-0005-0000-0000-000048060000}"/>
    <cellStyle name="Calculation 19 2 5 2 3" xfId="8394" xr:uid="{00000000-0005-0000-0000-000049060000}"/>
    <cellStyle name="Calculation 19 2 5 2 4" xfId="9717" xr:uid="{00000000-0005-0000-0000-00004A060000}"/>
    <cellStyle name="Calculation 19 2 5 3" xfId="4910" xr:uid="{00000000-0005-0000-0000-00004B060000}"/>
    <cellStyle name="Calculation 19 2 5 4" xfId="8087" xr:uid="{00000000-0005-0000-0000-00004C060000}"/>
    <cellStyle name="Calculation 19 2 5 5" xfId="7740" xr:uid="{00000000-0005-0000-0000-00004D060000}"/>
    <cellStyle name="Calculation 19 2 6" xfId="1487" xr:uid="{00000000-0005-0000-0000-00004E060000}"/>
    <cellStyle name="Calculation 19 2 6 2" xfId="2972" xr:uid="{00000000-0005-0000-0000-00004F060000}"/>
    <cellStyle name="Calculation 19 2 6 2 2" xfId="6549" xr:uid="{00000000-0005-0000-0000-000050060000}"/>
    <cellStyle name="Calculation 19 2 6 2 3" xfId="8550" xr:uid="{00000000-0005-0000-0000-000051060000}"/>
    <cellStyle name="Calculation 19 2 6 2 4" xfId="9873" xr:uid="{00000000-0005-0000-0000-000052060000}"/>
    <cellStyle name="Calculation 19 2 6 3" xfId="5084" xr:uid="{00000000-0005-0000-0000-000053060000}"/>
    <cellStyle name="Calculation 19 2 6 4" xfId="8104" xr:uid="{00000000-0005-0000-0000-000054060000}"/>
    <cellStyle name="Calculation 19 2 6 5" xfId="10954" xr:uid="{00000000-0005-0000-0000-000055060000}"/>
    <cellStyle name="Calculation 19 2 7" xfId="1831" xr:uid="{00000000-0005-0000-0000-000056060000}"/>
    <cellStyle name="Calculation 19 2 7 2" xfId="3308" xr:uid="{00000000-0005-0000-0000-000057060000}"/>
    <cellStyle name="Calculation 19 2 7 2 2" xfId="6878" xr:uid="{00000000-0005-0000-0000-000058060000}"/>
    <cellStyle name="Calculation 19 2 7 2 3" xfId="8846" xr:uid="{00000000-0005-0000-0000-000059060000}"/>
    <cellStyle name="Calculation 19 2 7 2 4" xfId="10138" xr:uid="{00000000-0005-0000-0000-00005A060000}"/>
    <cellStyle name="Calculation 19 2 7 3" xfId="5420" xr:uid="{00000000-0005-0000-0000-00005B060000}"/>
    <cellStyle name="Calculation 19 2 7 4" xfId="4217" xr:uid="{00000000-0005-0000-0000-00005C060000}"/>
    <cellStyle name="Calculation 19 2 7 5" xfId="11215" xr:uid="{00000000-0005-0000-0000-00005D060000}"/>
    <cellStyle name="Calculation 19 2 8" xfId="2256" xr:uid="{00000000-0005-0000-0000-00005E060000}"/>
    <cellStyle name="Calculation 19 2 8 2" xfId="3713" xr:uid="{00000000-0005-0000-0000-00005F060000}"/>
    <cellStyle name="Calculation 19 2 8 2 2" xfId="7283" xr:uid="{00000000-0005-0000-0000-000060060000}"/>
    <cellStyle name="Calculation 19 2 8 2 3" xfId="9248" xr:uid="{00000000-0005-0000-0000-000061060000}"/>
    <cellStyle name="Calculation 19 2 8 2 4" xfId="10540" xr:uid="{00000000-0005-0000-0000-000062060000}"/>
    <cellStyle name="Calculation 19 2 8 3" xfId="5844" xr:uid="{00000000-0005-0000-0000-000063060000}"/>
    <cellStyle name="Calculation 19 2 8 4" xfId="4549" xr:uid="{00000000-0005-0000-0000-000064060000}"/>
    <cellStyle name="Calculation 19 2 8 5" xfId="11622" xr:uid="{00000000-0005-0000-0000-000065060000}"/>
    <cellStyle name="Calculation 19 2 9" xfId="2348" xr:uid="{00000000-0005-0000-0000-000066060000}"/>
    <cellStyle name="Calculation 19 2 9 2" xfId="3804" xr:uid="{00000000-0005-0000-0000-000067060000}"/>
    <cellStyle name="Calculation 19 2 9 2 2" xfId="7374" xr:uid="{00000000-0005-0000-0000-000068060000}"/>
    <cellStyle name="Calculation 19 2 9 2 3" xfId="9337" xr:uid="{00000000-0005-0000-0000-000069060000}"/>
    <cellStyle name="Calculation 19 2 9 2 4" xfId="10631" xr:uid="{00000000-0005-0000-0000-00006A060000}"/>
    <cellStyle name="Calculation 19 2 9 3" xfId="5936" xr:uid="{00000000-0005-0000-0000-00006B060000}"/>
    <cellStyle name="Calculation 19 2 9 4" xfId="4580" xr:uid="{00000000-0005-0000-0000-00006C060000}"/>
    <cellStyle name="Calculation 19 2 9 5" xfId="11713" xr:uid="{00000000-0005-0000-0000-00006D060000}"/>
    <cellStyle name="Calculation 19 3" xfId="1428" xr:uid="{00000000-0005-0000-0000-00006E060000}"/>
    <cellStyle name="Calculation 19 3 2" xfId="2915" xr:uid="{00000000-0005-0000-0000-00006F060000}"/>
    <cellStyle name="Calculation 19 3 2 2" xfId="6493" xr:uid="{00000000-0005-0000-0000-000070060000}"/>
    <cellStyle name="Calculation 19 3 2 3" xfId="8495" xr:uid="{00000000-0005-0000-0000-000071060000}"/>
    <cellStyle name="Calculation 19 3 2 4" xfId="9818" xr:uid="{00000000-0005-0000-0000-000072060000}"/>
    <cellStyle name="Calculation 19 3 3" xfId="5026" xr:uid="{00000000-0005-0000-0000-000073060000}"/>
    <cellStyle name="Calculation 19 3 4" xfId="4732" xr:uid="{00000000-0005-0000-0000-000074060000}"/>
    <cellStyle name="Calculation 19 3 5" xfId="10900" xr:uid="{00000000-0005-0000-0000-000075060000}"/>
    <cellStyle name="Calculation 19 4" xfId="2027" xr:uid="{00000000-0005-0000-0000-000076060000}"/>
    <cellStyle name="Calculation 19 4 2" xfId="3489" xr:uid="{00000000-0005-0000-0000-000077060000}"/>
    <cellStyle name="Calculation 19 4 2 2" xfId="7059" xr:uid="{00000000-0005-0000-0000-000078060000}"/>
    <cellStyle name="Calculation 19 4 2 3" xfId="9025" xr:uid="{00000000-0005-0000-0000-000079060000}"/>
    <cellStyle name="Calculation 19 4 2 4" xfId="10316" xr:uid="{00000000-0005-0000-0000-00007A060000}"/>
    <cellStyle name="Calculation 19 4 3" xfId="5615" xr:uid="{00000000-0005-0000-0000-00007B060000}"/>
    <cellStyle name="Calculation 19 4 4" xfId="7663" xr:uid="{00000000-0005-0000-0000-00007C060000}"/>
    <cellStyle name="Calculation 19 4 5" xfId="11395" xr:uid="{00000000-0005-0000-0000-00007D060000}"/>
    <cellStyle name="Calculation 19 5" xfId="1649" xr:uid="{00000000-0005-0000-0000-00007E060000}"/>
    <cellStyle name="Calculation 19 5 2" xfId="3127" xr:uid="{00000000-0005-0000-0000-00007F060000}"/>
    <cellStyle name="Calculation 19 5 2 2" xfId="6703" xr:uid="{00000000-0005-0000-0000-000080060000}"/>
    <cellStyle name="Calculation 19 5 2 3" xfId="8690" xr:uid="{00000000-0005-0000-0000-000081060000}"/>
    <cellStyle name="Calculation 19 5 2 4" xfId="10003" xr:uid="{00000000-0005-0000-0000-000082060000}"/>
    <cellStyle name="Calculation 19 5 3" xfId="5243" xr:uid="{00000000-0005-0000-0000-000083060000}"/>
    <cellStyle name="Calculation 19 5 4" xfId="8560" xr:uid="{00000000-0005-0000-0000-000084060000}"/>
    <cellStyle name="Calculation 19 5 5" xfId="11081" xr:uid="{00000000-0005-0000-0000-000085060000}"/>
    <cellStyle name="Calculation 19 6" xfId="2565" xr:uid="{00000000-0005-0000-0000-000086060000}"/>
    <cellStyle name="Calculation 19 6 2" xfId="6153" xr:uid="{00000000-0005-0000-0000-000087060000}"/>
    <cellStyle name="Calculation 19 6 3" xfId="8179" xr:uid="{00000000-0005-0000-0000-000088060000}"/>
    <cellStyle name="Calculation 19 6 4" xfId="9532" xr:uid="{00000000-0005-0000-0000-000089060000}"/>
    <cellStyle name="Calculation 19 7" xfId="4308" xr:uid="{00000000-0005-0000-0000-00008A060000}"/>
    <cellStyle name="Calculation 19 8" xfId="5472" xr:uid="{00000000-0005-0000-0000-00008B060000}"/>
    <cellStyle name="Calculation 19 9" xfId="7723" xr:uid="{00000000-0005-0000-0000-00008C060000}"/>
    <cellStyle name="Calculation 2" xfId="172" xr:uid="{00000000-0005-0000-0000-00008D060000}"/>
    <cellStyle name="Calculation 2 10" xfId="4096" xr:uid="{00000000-0005-0000-0000-00008E060000}"/>
    <cellStyle name="Calculation 2 2" xfId="1122" xr:uid="{00000000-0005-0000-0000-00008F060000}"/>
    <cellStyle name="Calculation 2 2 10" xfId="1712" xr:uid="{00000000-0005-0000-0000-000090060000}"/>
    <cellStyle name="Calculation 2 2 10 2" xfId="3189" xr:uid="{00000000-0005-0000-0000-000091060000}"/>
    <cellStyle name="Calculation 2 2 10 2 2" xfId="6762" xr:uid="{00000000-0005-0000-0000-000092060000}"/>
    <cellStyle name="Calculation 2 2 10 2 3" xfId="8740" xr:uid="{00000000-0005-0000-0000-000093060000}"/>
    <cellStyle name="Calculation 2 2 10 2 4" xfId="10042" xr:uid="{00000000-0005-0000-0000-000094060000}"/>
    <cellStyle name="Calculation 2 2 10 3" xfId="5304" xr:uid="{00000000-0005-0000-0000-000095060000}"/>
    <cellStyle name="Calculation 2 2 10 4" xfId="4387" xr:uid="{00000000-0005-0000-0000-000096060000}"/>
    <cellStyle name="Calculation 2 2 10 5" xfId="11119" xr:uid="{00000000-0005-0000-0000-000097060000}"/>
    <cellStyle name="Calculation 2 2 11" xfId="2193" xr:uid="{00000000-0005-0000-0000-000098060000}"/>
    <cellStyle name="Calculation 2 2 11 2" xfId="3652" xr:uid="{00000000-0005-0000-0000-000099060000}"/>
    <cellStyle name="Calculation 2 2 11 2 2" xfId="7222" xr:uid="{00000000-0005-0000-0000-00009A060000}"/>
    <cellStyle name="Calculation 2 2 11 2 3" xfId="9187" xr:uid="{00000000-0005-0000-0000-00009B060000}"/>
    <cellStyle name="Calculation 2 2 11 2 4" xfId="10479" xr:uid="{00000000-0005-0000-0000-00009C060000}"/>
    <cellStyle name="Calculation 2 2 11 3" xfId="5781" xr:uid="{00000000-0005-0000-0000-00009D060000}"/>
    <cellStyle name="Calculation 2 2 11 4" xfId="5302" xr:uid="{00000000-0005-0000-0000-00009E060000}"/>
    <cellStyle name="Calculation 2 2 11 5" xfId="11559" xr:uid="{00000000-0005-0000-0000-00009F060000}"/>
    <cellStyle name="Calculation 2 2 12" xfId="2655" xr:uid="{00000000-0005-0000-0000-0000A0060000}"/>
    <cellStyle name="Calculation 2 2 12 2" xfId="6240" xr:uid="{00000000-0005-0000-0000-0000A1060000}"/>
    <cellStyle name="Calculation 2 2 12 3" xfId="8256" xr:uid="{00000000-0005-0000-0000-0000A2060000}"/>
    <cellStyle name="Calculation 2 2 12 4" xfId="9597" xr:uid="{00000000-0005-0000-0000-0000A3060000}"/>
    <cellStyle name="Calculation 2 2 13" xfId="4724" xr:uid="{00000000-0005-0000-0000-0000A4060000}"/>
    <cellStyle name="Calculation 2 2 14" xfId="4223" xr:uid="{00000000-0005-0000-0000-0000A5060000}"/>
    <cellStyle name="Calculation 2 2 15" xfId="7945" xr:uid="{00000000-0005-0000-0000-0000A6060000}"/>
    <cellStyle name="Calculation 2 2 2" xfId="1677" xr:uid="{00000000-0005-0000-0000-0000A7060000}"/>
    <cellStyle name="Calculation 2 2 2 2" xfId="3155" xr:uid="{00000000-0005-0000-0000-0000A8060000}"/>
    <cellStyle name="Calculation 2 2 2 2 2" xfId="6729" xr:uid="{00000000-0005-0000-0000-0000A9060000}"/>
    <cellStyle name="Calculation 2 2 2 2 3" xfId="8710" xr:uid="{00000000-0005-0000-0000-0000AA060000}"/>
    <cellStyle name="Calculation 2 2 2 2 4" xfId="10015" xr:uid="{00000000-0005-0000-0000-0000AB060000}"/>
    <cellStyle name="Calculation 2 2 2 3" xfId="5269" xr:uid="{00000000-0005-0000-0000-0000AC060000}"/>
    <cellStyle name="Calculation 2 2 2 4" xfId="4365" xr:uid="{00000000-0005-0000-0000-0000AD060000}"/>
    <cellStyle name="Calculation 2 2 2 5" xfId="11092" xr:uid="{00000000-0005-0000-0000-0000AE060000}"/>
    <cellStyle name="Calculation 2 2 3" xfId="1849" xr:uid="{00000000-0005-0000-0000-0000AF060000}"/>
    <cellStyle name="Calculation 2 2 3 2" xfId="3321" xr:uid="{00000000-0005-0000-0000-0000B0060000}"/>
    <cellStyle name="Calculation 2 2 3 2 2" xfId="6891" xr:uid="{00000000-0005-0000-0000-0000B1060000}"/>
    <cellStyle name="Calculation 2 2 3 2 3" xfId="8859" xr:uid="{00000000-0005-0000-0000-0000B2060000}"/>
    <cellStyle name="Calculation 2 2 3 2 4" xfId="10150" xr:uid="{00000000-0005-0000-0000-0000B3060000}"/>
    <cellStyle name="Calculation 2 2 3 3" xfId="5438" xr:uid="{00000000-0005-0000-0000-0000B4060000}"/>
    <cellStyle name="Calculation 2 2 3 4" xfId="8701" xr:uid="{00000000-0005-0000-0000-0000B5060000}"/>
    <cellStyle name="Calculation 2 2 3 5" xfId="11228" xr:uid="{00000000-0005-0000-0000-0000B6060000}"/>
    <cellStyle name="Calculation 2 2 4" xfId="1564" xr:uid="{00000000-0005-0000-0000-0000B7060000}"/>
    <cellStyle name="Calculation 2 2 4 2" xfId="3047" xr:uid="{00000000-0005-0000-0000-0000B8060000}"/>
    <cellStyle name="Calculation 2 2 4 2 2" xfId="6624" xr:uid="{00000000-0005-0000-0000-0000B9060000}"/>
    <cellStyle name="Calculation 2 2 4 2 3" xfId="8614" xr:uid="{00000000-0005-0000-0000-0000BA060000}"/>
    <cellStyle name="Calculation 2 2 4 2 4" xfId="9931" xr:uid="{00000000-0005-0000-0000-0000BB060000}"/>
    <cellStyle name="Calculation 2 2 4 3" xfId="5161" xr:uid="{00000000-0005-0000-0000-0000BC060000}"/>
    <cellStyle name="Calculation 2 2 4 4" xfId="7612" xr:uid="{00000000-0005-0000-0000-0000BD060000}"/>
    <cellStyle name="Calculation 2 2 4 5" xfId="11013" xr:uid="{00000000-0005-0000-0000-0000BE060000}"/>
    <cellStyle name="Calculation 2 2 5" xfId="1326" xr:uid="{00000000-0005-0000-0000-0000BF060000}"/>
    <cellStyle name="Calculation 2 2 5 2" xfId="2825" xr:uid="{00000000-0005-0000-0000-0000C0060000}"/>
    <cellStyle name="Calculation 2 2 5 2 2" xfId="6404" xr:uid="{00000000-0005-0000-0000-0000C1060000}"/>
    <cellStyle name="Calculation 2 2 5 2 3" xfId="8407" xr:uid="{00000000-0005-0000-0000-0000C2060000}"/>
    <cellStyle name="Calculation 2 2 5 2 4" xfId="9730" xr:uid="{00000000-0005-0000-0000-0000C3060000}"/>
    <cellStyle name="Calculation 2 2 5 3" xfId="4924" xr:uid="{00000000-0005-0000-0000-0000C4060000}"/>
    <cellStyle name="Calculation 2 2 5 4" xfId="8043" xr:uid="{00000000-0005-0000-0000-0000C5060000}"/>
    <cellStyle name="Calculation 2 2 5 5" xfId="7833" xr:uid="{00000000-0005-0000-0000-0000C6060000}"/>
    <cellStyle name="Calculation 2 2 6" xfId="1462" xr:uid="{00000000-0005-0000-0000-0000C7060000}"/>
    <cellStyle name="Calculation 2 2 6 2" xfId="2947" xr:uid="{00000000-0005-0000-0000-0000C8060000}"/>
    <cellStyle name="Calculation 2 2 6 2 2" xfId="6524" xr:uid="{00000000-0005-0000-0000-0000C9060000}"/>
    <cellStyle name="Calculation 2 2 6 2 3" xfId="8527" xr:uid="{00000000-0005-0000-0000-0000CA060000}"/>
    <cellStyle name="Calculation 2 2 6 2 4" xfId="9848" xr:uid="{00000000-0005-0000-0000-0000CB060000}"/>
    <cellStyle name="Calculation 2 2 6 3" xfId="5059" xr:uid="{00000000-0005-0000-0000-0000CC060000}"/>
    <cellStyle name="Calculation 2 2 6 4" xfId="8105" xr:uid="{00000000-0005-0000-0000-0000CD060000}"/>
    <cellStyle name="Calculation 2 2 6 5" xfId="10929" xr:uid="{00000000-0005-0000-0000-0000CE060000}"/>
    <cellStyle name="Calculation 2 2 7" xfId="1344" xr:uid="{00000000-0005-0000-0000-0000CF060000}"/>
    <cellStyle name="Calculation 2 2 7 2" xfId="2842" xr:uid="{00000000-0005-0000-0000-0000D0060000}"/>
    <cellStyle name="Calculation 2 2 7 2 2" xfId="6421" xr:uid="{00000000-0005-0000-0000-0000D1060000}"/>
    <cellStyle name="Calculation 2 2 7 2 3" xfId="8422" xr:uid="{00000000-0005-0000-0000-0000D2060000}"/>
    <cellStyle name="Calculation 2 2 7 2 4" xfId="9747" xr:uid="{00000000-0005-0000-0000-0000D3060000}"/>
    <cellStyle name="Calculation 2 2 7 3" xfId="4942" xr:uid="{00000000-0005-0000-0000-0000D4060000}"/>
    <cellStyle name="Calculation 2 2 7 4" xfId="7911" xr:uid="{00000000-0005-0000-0000-0000D5060000}"/>
    <cellStyle name="Calculation 2 2 7 5" xfId="10828" xr:uid="{00000000-0005-0000-0000-0000D6060000}"/>
    <cellStyle name="Calculation 2 2 8" xfId="2242" xr:uid="{00000000-0005-0000-0000-0000D7060000}"/>
    <cellStyle name="Calculation 2 2 8 2" xfId="3699" xr:uid="{00000000-0005-0000-0000-0000D8060000}"/>
    <cellStyle name="Calculation 2 2 8 2 2" xfId="7269" xr:uid="{00000000-0005-0000-0000-0000D9060000}"/>
    <cellStyle name="Calculation 2 2 8 2 3" xfId="9234" xr:uid="{00000000-0005-0000-0000-0000DA060000}"/>
    <cellStyle name="Calculation 2 2 8 2 4" xfId="10526" xr:uid="{00000000-0005-0000-0000-0000DB060000}"/>
    <cellStyle name="Calculation 2 2 8 3" xfId="5830" xr:uid="{00000000-0005-0000-0000-0000DC060000}"/>
    <cellStyle name="Calculation 2 2 8 4" xfId="4536" xr:uid="{00000000-0005-0000-0000-0000DD060000}"/>
    <cellStyle name="Calculation 2 2 8 5" xfId="11608" xr:uid="{00000000-0005-0000-0000-0000DE060000}"/>
    <cellStyle name="Calculation 2 2 9" xfId="2334" xr:uid="{00000000-0005-0000-0000-0000DF060000}"/>
    <cellStyle name="Calculation 2 2 9 2" xfId="3790" xr:uid="{00000000-0005-0000-0000-0000E0060000}"/>
    <cellStyle name="Calculation 2 2 9 2 2" xfId="7360" xr:uid="{00000000-0005-0000-0000-0000E1060000}"/>
    <cellStyle name="Calculation 2 2 9 2 3" xfId="9323" xr:uid="{00000000-0005-0000-0000-0000E2060000}"/>
    <cellStyle name="Calculation 2 2 9 2 4" xfId="10617" xr:uid="{00000000-0005-0000-0000-0000E3060000}"/>
    <cellStyle name="Calculation 2 2 9 3" xfId="5922" xr:uid="{00000000-0005-0000-0000-0000E4060000}"/>
    <cellStyle name="Calculation 2 2 9 4" xfId="4578" xr:uid="{00000000-0005-0000-0000-0000E5060000}"/>
    <cellStyle name="Calculation 2 2 9 5" xfId="11699" xr:uid="{00000000-0005-0000-0000-0000E6060000}"/>
    <cellStyle name="Calculation 2 3" xfId="1280" xr:uid="{00000000-0005-0000-0000-0000E7060000}"/>
    <cellStyle name="Calculation 2 3 2" xfId="2780" xr:uid="{00000000-0005-0000-0000-0000E8060000}"/>
    <cellStyle name="Calculation 2 3 2 2" xfId="6359" xr:uid="{00000000-0005-0000-0000-0000E9060000}"/>
    <cellStyle name="Calculation 2 3 2 3" xfId="8367" xr:uid="{00000000-0005-0000-0000-0000EA060000}"/>
    <cellStyle name="Calculation 2 3 2 4" xfId="9692" xr:uid="{00000000-0005-0000-0000-0000EB060000}"/>
    <cellStyle name="Calculation 2 3 3" xfId="4878" xr:uid="{00000000-0005-0000-0000-0000EC060000}"/>
    <cellStyle name="Calculation 2 3 4" xfId="7819" xr:uid="{00000000-0005-0000-0000-0000ED060000}"/>
    <cellStyle name="Calculation 2 3 5" xfId="8254" xr:uid="{00000000-0005-0000-0000-0000EE060000}"/>
    <cellStyle name="Calculation 2 4" xfId="1642" xr:uid="{00000000-0005-0000-0000-0000EF060000}"/>
    <cellStyle name="Calculation 2 4 2" xfId="3121" xr:uid="{00000000-0005-0000-0000-0000F0060000}"/>
    <cellStyle name="Calculation 2 4 2 2" xfId="6697" xr:uid="{00000000-0005-0000-0000-0000F1060000}"/>
    <cellStyle name="Calculation 2 4 2 3" xfId="8684" xr:uid="{00000000-0005-0000-0000-0000F2060000}"/>
    <cellStyle name="Calculation 2 4 2 4" xfId="9997" xr:uid="{00000000-0005-0000-0000-0000F3060000}"/>
    <cellStyle name="Calculation 2 4 3" xfId="5236" xr:uid="{00000000-0005-0000-0000-0000F4060000}"/>
    <cellStyle name="Calculation 2 4 4" xfId="7751" xr:uid="{00000000-0005-0000-0000-0000F5060000}"/>
    <cellStyle name="Calculation 2 4 5" xfId="7647" xr:uid="{00000000-0005-0000-0000-0000F6060000}"/>
    <cellStyle name="Calculation 2 5" xfId="1990" xr:uid="{00000000-0005-0000-0000-0000F7060000}"/>
    <cellStyle name="Calculation 2 5 2" xfId="3453" xr:uid="{00000000-0005-0000-0000-0000F8060000}"/>
    <cellStyle name="Calculation 2 5 2 2" xfId="7023" xr:uid="{00000000-0005-0000-0000-0000F9060000}"/>
    <cellStyle name="Calculation 2 5 2 3" xfId="8989" xr:uid="{00000000-0005-0000-0000-0000FA060000}"/>
    <cellStyle name="Calculation 2 5 2 4" xfId="10280" xr:uid="{00000000-0005-0000-0000-0000FB060000}"/>
    <cellStyle name="Calculation 2 5 3" xfId="5578" xr:uid="{00000000-0005-0000-0000-0000FC060000}"/>
    <cellStyle name="Calculation 2 5 4" xfId="202" xr:uid="{00000000-0005-0000-0000-0000FD060000}"/>
    <cellStyle name="Calculation 2 5 5" xfId="11358" xr:uid="{00000000-0005-0000-0000-0000FE060000}"/>
    <cellStyle name="Calculation 2 6" xfId="2059" xr:uid="{00000000-0005-0000-0000-0000FF060000}"/>
    <cellStyle name="Calculation 2 6 2" xfId="3519" xr:uid="{00000000-0005-0000-0000-000000070000}"/>
    <cellStyle name="Calculation 2 6 2 2" xfId="7089" xr:uid="{00000000-0005-0000-0000-000001070000}"/>
    <cellStyle name="Calculation 2 6 2 3" xfId="9055" xr:uid="{00000000-0005-0000-0000-000002070000}"/>
    <cellStyle name="Calculation 2 6 2 4" xfId="10346" xr:uid="{00000000-0005-0000-0000-000003070000}"/>
    <cellStyle name="Calculation 2 6 3" xfId="5647" xr:uid="{00000000-0005-0000-0000-000004070000}"/>
    <cellStyle name="Calculation 2 6 4" xfId="7656" xr:uid="{00000000-0005-0000-0000-000005070000}"/>
    <cellStyle name="Calculation 2 6 5" xfId="11426" xr:uid="{00000000-0005-0000-0000-000006070000}"/>
    <cellStyle name="Calculation 2 7" xfId="2546" xr:uid="{00000000-0005-0000-0000-000007070000}"/>
    <cellStyle name="Calculation 2 7 2" xfId="6134" xr:uid="{00000000-0005-0000-0000-000008070000}"/>
    <cellStyle name="Calculation 2 7 3" xfId="8163" xr:uid="{00000000-0005-0000-0000-000009070000}"/>
    <cellStyle name="Calculation 2 7 4" xfId="5224" xr:uid="{00000000-0005-0000-0000-00000A070000}"/>
    <cellStyle name="Calculation 2 8" xfId="174" xr:uid="{00000000-0005-0000-0000-00000B070000}"/>
    <cellStyle name="Calculation 2 9" xfId="4673" xr:uid="{00000000-0005-0000-0000-00000C070000}"/>
    <cellStyle name="Calculation 3" xfId="653" xr:uid="{00000000-0005-0000-0000-00000D070000}"/>
    <cellStyle name="Calculation 3 2" xfId="1149" xr:uid="{00000000-0005-0000-0000-00000E070000}"/>
    <cellStyle name="Calculation 3 2 10" xfId="2169" xr:uid="{00000000-0005-0000-0000-00000F070000}"/>
    <cellStyle name="Calculation 3 2 10 2" xfId="3628" xr:uid="{00000000-0005-0000-0000-000010070000}"/>
    <cellStyle name="Calculation 3 2 10 2 2" xfId="7198" xr:uid="{00000000-0005-0000-0000-000011070000}"/>
    <cellStyle name="Calculation 3 2 10 2 3" xfId="9163" xr:uid="{00000000-0005-0000-0000-000012070000}"/>
    <cellStyle name="Calculation 3 2 10 2 4" xfId="10455" xr:uid="{00000000-0005-0000-0000-000013070000}"/>
    <cellStyle name="Calculation 3 2 10 3" xfId="5757" xr:uid="{00000000-0005-0000-0000-000014070000}"/>
    <cellStyle name="Calculation 3 2 10 4" xfId="5138" xr:uid="{00000000-0005-0000-0000-000015070000}"/>
    <cellStyle name="Calculation 3 2 10 5" xfId="11535" xr:uid="{00000000-0005-0000-0000-000016070000}"/>
    <cellStyle name="Calculation 3 2 11" xfId="2197" xr:uid="{00000000-0005-0000-0000-000017070000}"/>
    <cellStyle name="Calculation 3 2 11 2" xfId="3656" xr:uid="{00000000-0005-0000-0000-000018070000}"/>
    <cellStyle name="Calculation 3 2 11 2 2" xfId="7226" xr:uid="{00000000-0005-0000-0000-000019070000}"/>
    <cellStyle name="Calculation 3 2 11 2 3" xfId="9191" xr:uid="{00000000-0005-0000-0000-00001A070000}"/>
    <cellStyle name="Calculation 3 2 11 2 4" xfId="10483" xr:uid="{00000000-0005-0000-0000-00001B070000}"/>
    <cellStyle name="Calculation 3 2 11 3" xfId="5785" xr:uid="{00000000-0005-0000-0000-00001C070000}"/>
    <cellStyle name="Calculation 3 2 11 4" xfId="5428" xr:uid="{00000000-0005-0000-0000-00001D070000}"/>
    <cellStyle name="Calculation 3 2 11 5" xfId="11563" xr:uid="{00000000-0005-0000-0000-00001E070000}"/>
    <cellStyle name="Calculation 3 2 12" xfId="2675" xr:uid="{00000000-0005-0000-0000-00001F070000}"/>
    <cellStyle name="Calculation 3 2 12 2" xfId="6259" xr:uid="{00000000-0005-0000-0000-000020070000}"/>
    <cellStyle name="Calculation 3 2 12 3" xfId="8272" xr:uid="{00000000-0005-0000-0000-000021070000}"/>
    <cellStyle name="Calculation 3 2 12 4" xfId="9612" xr:uid="{00000000-0005-0000-0000-000022070000}"/>
    <cellStyle name="Calculation 3 2 13" xfId="4748" xr:uid="{00000000-0005-0000-0000-000023070000}"/>
    <cellStyle name="Calculation 3 2 14" xfId="4204" xr:uid="{00000000-0005-0000-0000-000024070000}"/>
    <cellStyle name="Calculation 3 2 15" xfId="7919" xr:uid="{00000000-0005-0000-0000-000025070000}"/>
    <cellStyle name="Calculation 3 2 2" xfId="1702" xr:uid="{00000000-0005-0000-0000-000026070000}"/>
    <cellStyle name="Calculation 3 2 2 2" xfId="3180" xr:uid="{00000000-0005-0000-0000-000027070000}"/>
    <cellStyle name="Calculation 3 2 2 2 2" xfId="6754" xr:uid="{00000000-0005-0000-0000-000028070000}"/>
    <cellStyle name="Calculation 3 2 2 2 3" xfId="8731" xr:uid="{00000000-0005-0000-0000-000029070000}"/>
    <cellStyle name="Calculation 3 2 2 2 4" xfId="10035" xr:uid="{00000000-0005-0000-0000-00002A070000}"/>
    <cellStyle name="Calculation 3 2 2 3" xfId="5294" xr:uid="{00000000-0005-0000-0000-00002B070000}"/>
    <cellStyle name="Calculation 3 2 2 4" xfId="4382" xr:uid="{00000000-0005-0000-0000-00002C070000}"/>
    <cellStyle name="Calculation 3 2 2 5" xfId="11112" xr:uid="{00000000-0005-0000-0000-00002D070000}"/>
    <cellStyle name="Calculation 3 2 3" xfId="1869" xr:uid="{00000000-0005-0000-0000-00002E070000}"/>
    <cellStyle name="Calculation 3 2 3 2" xfId="3340" xr:uid="{00000000-0005-0000-0000-00002F070000}"/>
    <cellStyle name="Calculation 3 2 3 2 2" xfId="6910" xr:uid="{00000000-0005-0000-0000-000030070000}"/>
    <cellStyle name="Calculation 3 2 3 2 3" xfId="8878" xr:uid="{00000000-0005-0000-0000-000031070000}"/>
    <cellStyle name="Calculation 3 2 3 2 4" xfId="10168" xr:uid="{00000000-0005-0000-0000-000032070000}"/>
    <cellStyle name="Calculation 3 2 3 3" xfId="5457" xr:uid="{00000000-0005-0000-0000-000033070000}"/>
    <cellStyle name="Calculation 3 2 3 4" xfId="4440" xr:uid="{00000000-0005-0000-0000-000034070000}"/>
    <cellStyle name="Calculation 3 2 3 5" xfId="11246" xr:uid="{00000000-0005-0000-0000-000035070000}"/>
    <cellStyle name="Calculation 3 2 4" xfId="1287" xr:uid="{00000000-0005-0000-0000-000036070000}"/>
    <cellStyle name="Calculation 3 2 4 2" xfId="2787" xr:uid="{00000000-0005-0000-0000-000037070000}"/>
    <cellStyle name="Calculation 3 2 4 2 2" xfId="6366" xr:uid="{00000000-0005-0000-0000-000038070000}"/>
    <cellStyle name="Calculation 3 2 4 2 3" xfId="8373" xr:uid="{00000000-0005-0000-0000-000039070000}"/>
    <cellStyle name="Calculation 3 2 4 2 4" xfId="9698" xr:uid="{00000000-0005-0000-0000-00003A070000}"/>
    <cellStyle name="Calculation 3 2 4 3" xfId="4885" xr:uid="{00000000-0005-0000-0000-00003B070000}"/>
    <cellStyle name="Calculation 3 2 4 4" xfId="8046" xr:uid="{00000000-0005-0000-0000-00003C070000}"/>
    <cellStyle name="Calculation 3 2 4 5" xfId="4250" xr:uid="{00000000-0005-0000-0000-00003D070000}"/>
    <cellStyle name="Calculation 3 2 5" xfId="1311" xr:uid="{00000000-0005-0000-0000-00003E070000}"/>
    <cellStyle name="Calculation 3 2 5 2" xfId="2811" xr:uid="{00000000-0005-0000-0000-00003F070000}"/>
    <cellStyle name="Calculation 3 2 5 2 2" xfId="6390" xr:uid="{00000000-0005-0000-0000-000040070000}"/>
    <cellStyle name="Calculation 3 2 5 2 3" xfId="8393" xr:uid="{00000000-0005-0000-0000-000041070000}"/>
    <cellStyle name="Calculation 3 2 5 2 4" xfId="9716" xr:uid="{00000000-0005-0000-0000-000042070000}"/>
    <cellStyle name="Calculation 3 2 5 3" xfId="4909" xr:uid="{00000000-0005-0000-0000-000043070000}"/>
    <cellStyle name="Calculation 3 2 5 4" xfId="7692" xr:uid="{00000000-0005-0000-0000-000044070000}"/>
    <cellStyle name="Calculation 3 2 5 5" xfId="8350" xr:uid="{00000000-0005-0000-0000-000045070000}"/>
    <cellStyle name="Calculation 3 2 6" xfId="1488" xr:uid="{00000000-0005-0000-0000-000046070000}"/>
    <cellStyle name="Calculation 3 2 6 2" xfId="2973" xr:uid="{00000000-0005-0000-0000-000047070000}"/>
    <cellStyle name="Calculation 3 2 6 2 2" xfId="6550" xr:uid="{00000000-0005-0000-0000-000048070000}"/>
    <cellStyle name="Calculation 3 2 6 2 3" xfId="8551" xr:uid="{00000000-0005-0000-0000-000049070000}"/>
    <cellStyle name="Calculation 3 2 6 2 4" xfId="9874" xr:uid="{00000000-0005-0000-0000-00004A070000}"/>
    <cellStyle name="Calculation 3 2 6 3" xfId="5085" xr:uid="{00000000-0005-0000-0000-00004B070000}"/>
    <cellStyle name="Calculation 3 2 6 4" xfId="8685" xr:uid="{00000000-0005-0000-0000-00004C070000}"/>
    <cellStyle name="Calculation 3 2 6 5" xfId="10955" xr:uid="{00000000-0005-0000-0000-00004D070000}"/>
    <cellStyle name="Calculation 3 2 7" xfId="1856" xr:uid="{00000000-0005-0000-0000-00004E070000}"/>
    <cellStyle name="Calculation 3 2 7 2" xfId="3328" xr:uid="{00000000-0005-0000-0000-00004F070000}"/>
    <cellStyle name="Calculation 3 2 7 2 2" xfId="6898" xr:uid="{00000000-0005-0000-0000-000050070000}"/>
    <cellStyle name="Calculation 3 2 7 2 3" xfId="8866" xr:uid="{00000000-0005-0000-0000-000051070000}"/>
    <cellStyle name="Calculation 3 2 7 2 4" xfId="10156" xr:uid="{00000000-0005-0000-0000-000052070000}"/>
    <cellStyle name="Calculation 3 2 7 3" xfId="5445" xr:uid="{00000000-0005-0000-0000-000053070000}"/>
    <cellStyle name="Calculation 3 2 7 4" xfId="4230" xr:uid="{00000000-0005-0000-0000-000054070000}"/>
    <cellStyle name="Calculation 3 2 7 5" xfId="11234" xr:uid="{00000000-0005-0000-0000-000055070000}"/>
    <cellStyle name="Calculation 3 2 8" xfId="2257" xr:uid="{00000000-0005-0000-0000-000056070000}"/>
    <cellStyle name="Calculation 3 2 8 2" xfId="3714" xr:uid="{00000000-0005-0000-0000-000057070000}"/>
    <cellStyle name="Calculation 3 2 8 2 2" xfId="7284" xr:uid="{00000000-0005-0000-0000-000058070000}"/>
    <cellStyle name="Calculation 3 2 8 2 3" xfId="9249" xr:uid="{00000000-0005-0000-0000-000059070000}"/>
    <cellStyle name="Calculation 3 2 8 2 4" xfId="10541" xr:uid="{00000000-0005-0000-0000-00005A070000}"/>
    <cellStyle name="Calculation 3 2 8 3" xfId="5845" xr:uid="{00000000-0005-0000-0000-00005B070000}"/>
    <cellStyle name="Calculation 3 2 8 4" xfId="4550" xr:uid="{00000000-0005-0000-0000-00005C070000}"/>
    <cellStyle name="Calculation 3 2 8 5" xfId="11623" xr:uid="{00000000-0005-0000-0000-00005D070000}"/>
    <cellStyle name="Calculation 3 2 9" xfId="2349" xr:uid="{00000000-0005-0000-0000-00005E070000}"/>
    <cellStyle name="Calculation 3 2 9 2" xfId="3805" xr:uid="{00000000-0005-0000-0000-00005F070000}"/>
    <cellStyle name="Calculation 3 2 9 2 2" xfId="7375" xr:uid="{00000000-0005-0000-0000-000060070000}"/>
    <cellStyle name="Calculation 3 2 9 2 3" xfId="9338" xr:uid="{00000000-0005-0000-0000-000061070000}"/>
    <cellStyle name="Calculation 3 2 9 2 4" xfId="10632" xr:uid="{00000000-0005-0000-0000-000062070000}"/>
    <cellStyle name="Calculation 3 2 9 3" xfId="5937" xr:uid="{00000000-0005-0000-0000-000063070000}"/>
    <cellStyle name="Calculation 3 2 9 4" xfId="4811" xr:uid="{00000000-0005-0000-0000-000064070000}"/>
    <cellStyle name="Calculation 3 2 9 5" xfId="11714" xr:uid="{00000000-0005-0000-0000-000065070000}"/>
    <cellStyle name="Calculation 3 3" xfId="1429" xr:uid="{00000000-0005-0000-0000-000066070000}"/>
    <cellStyle name="Calculation 3 3 2" xfId="2916" xr:uid="{00000000-0005-0000-0000-000067070000}"/>
    <cellStyle name="Calculation 3 3 2 2" xfId="6494" xr:uid="{00000000-0005-0000-0000-000068070000}"/>
    <cellStyle name="Calculation 3 3 2 3" xfId="8496" xr:uid="{00000000-0005-0000-0000-000069070000}"/>
    <cellStyle name="Calculation 3 3 2 4" xfId="9819" xr:uid="{00000000-0005-0000-0000-00006A070000}"/>
    <cellStyle name="Calculation 3 3 3" xfId="5027" xr:uid="{00000000-0005-0000-0000-00006B070000}"/>
    <cellStyle name="Calculation 3 3 4" xfId="4352" xr:uid="{00000000-0005-0000-0000-00006C070000}"/>
    <cellStyle name="Calculation 3 3 5" xfId="10901" xr:uid="{00000000-0005-0000-0000-00006D070000}"/>
    <cellStyle name="Calculation 3 4" xfId="1921" xr:uid="{00000000-0005-0000-0000-00006E070000}"/>
    <cellStyle name="Calculation 3 4 2" xfId="3385" xr:uid="{00000000-0005-0000-0000-00006F070000}"/>
    <cellStyle name="Calculation 3 4 2 2" xfId="6955" xr:uid="{00000000-0005-0000-0000-000070070000}"/>
    <cellStyle name="Calculation 3 4 2 3" xfId="8921" xr:uid="{00000000-0005-0000-0000-000071070000}"/>
    <cellStyle name="Calculation 3 4 2 4" xfId="10212" xr:uid="{00000000-0005-0000-0000-000072070000}"/>
    <cellStyle name="Calculation 3 4 3" xfId="5509" xr:uid="{00000000-0005-0000-0000-000073070000}"/>
    <cellStyle name="Calculation 3 4 4" xfId="8029" xr:uid="{00000000-0005-0000-0000-000074070000}"/>
    <cellStyle name="Calculation 3 4 5" xfId="11290" xr:uid="{00000000-0005-0000-0000-000075070000}"/>
    <cellStyle name="Calculation 3 5" xfId="2099" xr:uid="{00000000-0005-0000-0000-000076070000}"/>
    <cellStyle name="Calculation 3 5 2" xfId="3558" xr:uid="{00000000-0005-0000-0000-000077070000}"/>
    <cellStyle name="Calculation 3 5 2 2" xfId="7128" xr:uid="{00000000-0005-0000-0000-000078070000}"/>
    <cellStyle name="Calculation 3 5 2 3" xfId="9093" xr:uid="{00000000-0005-0000-0000-000079070000}"/>
    <cellStyle name="Calculation 3 5 2 4" xfId="10385" xr:uid="{00000000-0005-0000-0000-00007A070000}"/>
    <cellStyle name="Calculation 3 5 3" xfId="5687" xr:uid="{00000000-0005-0000-0000-00007B070000}"/>
    <cellStyle name="Calculation 3 5 4" xfId="7947" xr:uid="{00000000-0005-0000-0000-00007C070000}"/>
    <cellStyle name="Calculation 3 5 5" xfId="11465" xr:uid="{00000000-0005-0000-0000-00007D070000}"/>
    <cellStyle name="Calculation 3 6" xfId="2566" xr:uid="{00000000-0005-0000-0000-00007E070000}"/>
    <cellStyle name="Calculation 3 6 2" xfId="6154" xr:uid="{00000000-0005-0000-0000-00007F070000}"/>
    <cellStyle name="Calculation 3 6 3" xfId="8180" xr:uid="{00000000-0005-0000-0000-000080070000}"/>
    <cellStyle name="Calculation 3 6 4" xfId="9533" xr:uid="{00000000-0005-0000-0000-000081070000}"/>
    <cellStyle name="Calculation 3 7" xfId="4309" xr:uid="{00000000-0005-0000-0000-000082070000}"/>
    <cellStyle name="Calculation 3 8" xfId="4449" xr:uid="{00000000-0005-0000-0000-000083070000}"/>
    <cellStyle name="Calculation 3 9" xfId="8096" xr:uid="{00000000-0005-0000-0000-000084070000}"/>
    <cellStyle name="Calculation 4" xfId="654" xr:uid="{00000000-0005-0000-0000-000085070000}"/>
    <cellStyle name="Calculation 4 2" xfId="1150" xr:uid="{00000000-0005-0000-0000-000086070000}"/>
    <cellStyle name="Calculation 4 2 10" xfId="1349" xr:uid="{00000000-0005-0000-0000-000087070000}"/>
    <cellStyle name="Calculation 4 2 10 2" xfId="2846" xr:uid="{00000000-0005-0000-0000-000088070000}"/>
    <cellStyle name="Calculation 4 2 10 2 2" xfId="6425" xr:uid="{00000000-0005-0000-0000-000089070000}"/>
    <cellStyle name="Calculation 4 2 10 2 3" xfId="8426" xr:uid="{00000000-0005-0000-0000-00008A070000}"/>
    <cellStyle name="Calculation 4 2 10 2 4" xfId="9751" xr:uid="{00000000-0005-0000-0000-00008B070000}"/>
    <cellStyle name="Calculation 4 2 10 3" xfId="4947" xr:uid="{00000000-0005-0000-0000-00008C070000}"/>
    <cellStyle name="Calculation 4 2 10 4" xfId="7598" xr:uid="{00000000-0005-0000-0000-00008D070000}"/>
    <cellStyle name="Calculation 4 2 10 5" xfId="10833" xr:uid="{00000000-0005-0000-0000-00008E070000}"/>
    <cellStyle name="Calculation 4 2 11" xfId="2196" xr:uid="{00000000-0005-0000-0000-00008F070000}"/>
    <cellStyle name="Calculation 4 2 11 2" xfId="3655" xr:uid="{00000000-0005-0000-0000-000090070000}"/>
    <cellStyle name="Calculation 4 2 11 2 2" xfId="7225" xr:uid="{00000000-0005-0000-0000-000091070000}"/>
    <cellStyle name="Calculation 4 2 11 2 3" xfId="9190" xr:uid="{00000000-0005-0000-0000-000092070000}"/>
    <cellStyle name="Calculation 4 2 11 2 4" xfId="10482" xr:uid="{00000000-0005-0000-0000-000093070000}"/>
    <cellStyle name="Calculation 4 2 11 3" xfId="5784" xr:uid="{00000000-0005-0000-0000-000094070000}"/>
    <cellStyle name="Calculation 4 2 11 4" xfId="6607" xr:uid="{00000000-0005-0000-0000-000095070000}"/>
    <cellStyle name="Calculation 4 2 11 5" xfId="11562" xr:uid="{00000000-0005-0000-0000-000096070000}"/>
    <cellStyle name="Calculation 4 2 12" xfId="2676" xr:uid="{00000000-0005-0000-0000-000097070000}"/>
    <cellStyle name="Calculation 4 2 12 2" xfId="6260" xr:uid="{00000000-0005-0000-0000-000098070000}"/>
    <cellStyle name="Calculation 4 2 12 3" xfId="8273" xr:uid="{00000000-0005-0000-0000-000099070000}"/>
    <cellStyle name="Calculation 4 2 12 4" xfId="9613" xr:uid="{00000000-0005-0000-0000-00009A070000}"/>
    <cellStyle name="Calculation 4 2 13" xfId="4749" xr:uid="{00000000-0005-0000-0000-00009B070000}"/>
    <cellStyle name="Calculation 4 2 14" xfId="4203" xr:uid="{00000000-0005-0000-0000-00009C070000}"/>
    <cellStyle name="Calculation 4 2 15" xfId="7824" xr:uid="{00000000-0005-0000-0000-00009D070000}"/>
    <cellStyle name="Calculation 4 2 2" xfId="1703" xr:uid="{00000000-0005-0000-0000-00009E070000}"/>
    <cellStyle name="Calculation 4 2 2 2" xfId="3181" xr:uid="{00000000-0005-0000-0000-00009F070000}"/>
    <cellStyle name="Calculation 4 2 2 2 2" xfId="6755" xr:uid="{00000000-0005-0000-0000-0000A0070000}"/>
    <cellStyle name="Calculation 4 2 2 2 3" xfId="8732" xr:uid="{00000000-0005-0000-0000-0000A1070000}"/>
    <cellStyle name="Calculation 4 2 2 2 4" xfId="10036" xr:uid="{00000000-0005-0000-0000-0000A2070000}"/>
    <cellStyle name="Calculation 4 2 2 3" xfId="5295" xr:uid="{00000000-0005-0000-0000-0000A3070000}"/>
    <cellStyle name="Calculation 4 2 2 4" xfId="4383" xr:uid="{00000000-0005-0000-0000-0000A4070000}"/>
    <cellStyle name="Calculation 4 2 2 5" xfId="11113" xr:uid="{00000000-0005-0000-0000-0000A5070000}"/>
    <cellStyle name="Calculation 4 2 3" xfId="1870" xr:uid="{00000000-0005-0000-0000-0000A6070000}"/>
    <cellStyle name="Calculation 4 2 3 2" xfId="3341" xr:uid="{00000000-0005-0000-0000-0000A7070000}"/>
    <cellStyle name="Calculation 4 2 3 2 2" xfId="6911" xr:uid="{00000000-0005-0000-0000-0000A8070000}"/>
    <cellStyle name="Calculation 4 2 3 2 3" xfId="8879" xr:uid="{00000000-0005-0000-0000-0000A9070000}"/>
    <cellStyle name="Calculation 4 2 3 2 4" xfId="10169" xr:uid="{00000000-0005-0000-0000-0000AA070000}"/>
    <cellStyle name="Calculation 4 2 3 3" xfId="5458" xr:uid="{00000000-0005-0000-0000-0000AB070000}"/>
    <cellStyle name="Calculation 4 2 3 4" xfId="4441" xr:uid="{00000000-0005-0000-0000-0000AC070000}"/>
    <cellStyle name="Calculation 4 2 3 5" xfId="11247" xr:uid="{00000000-0005-0000-0000-0000AD070000}"/>
    <cellStyle name="Calculation 4 2 4" xfId="1652" xr:uid="{00000000-0005-0000-0000-0000AE070000}"/>
    <cellStyle name="Calculation 4 2 4 2" xfId="3130" xr:uid="{00000000-0005-0000-0000-0000AF070000}"/>
    <cellStyle name="Calculation 4 2 4 2 2" xfId="6706" xr:uid="{00000000-0005-0000-0000-0000B0070000}"/>
    <cellStyle name="Calculation 4 2 4 2 3" xfId="8693" xr:uid="{00000000-0005-0000-0000-0000B1070000}"/>
    <cellStyle name="Calculation 4 2 4 2 4" xfId="10006" xr:uid="{00000000-0005-0000-0000-0000B2070000}"/>
    <cellStyle name="Calculation 4 2 4 3" xfId="5246" xr:uid="{00000000-0005-0000-0000-0000B3070000}"/>
    <cellStyle name="Calculation 4 2 4 4" xfId="7843" xr:uid="{00000000-0005-0000-0000-0000B4070000}"/>
    <cellStyle name="Calculation 4 2 4 5" xfId="11084" xr:uid="{00000000-0005-0000-0000-0000B5070000}"/>
    <cellStyle name="Calculation 4 2 5" xfId="1835" xr:uid="{00000000-0005-0000-0000-0000B6070000}"/>
    <cellStyle name="Calculation 4 2 5 2" xfId="3312" xr:uid="{00000000-0005-0000-0000-0000B7070000}"/>
    <cellStyle name="Calculation 4 2 5 2 2" xfId="6882" xr:uid="{00000000-0005-0000-0000-0000B8070000}"/>
    <cellStyle name="Calculation 4 2 5 2 3" xfId="8850" xr:uid="{00000000-0005-0000-0000-0000B9070000}"/>
    <cellStyle name="Calculation 4 2 5 2 4" xfId="10142" xr:uid="{00000000-0005-0000-0000-0000BA070000}"/>
    <cellStyle name="Calculation 4 2 5 3" xfId="5424" xr:uid="{00000000-0005-0000-0000-0000BB070000}"/>
    <cellStyle name="Calculation 4 2 5 4" xfId="4659" xr:uid="{00000000-0005-0000-0000-0000BC070000}"/>
    <cellStyle name="Calculation 4 2 5 5" xfId="11219" xr:uid="{00000000-0005-0000-0000-0000BD070000}"/>
    <cellStyle name="Calculation 4 2 6" xfId="1958" xr:uid="{00000000-0005-0000-0000-0000BE070000}"/>
    <cellStyle name="Calculation 4 2 6 2" xfId="3422" xr:uid="{00000000-0005-0000-0000-0000BF070000}"/>
    <cellStyle name="Calculation 4 2 6 2 2" xfId="6992" xr:uid="{00000000-0005-0000-0000-0000C0070000}"/>
    <cellStyle name="Calculation 4 2 6 2 3" xfId="8958" xr:uid="{00000000-0005-0000-0000-0000C1070000}"/>
    <cellStyle name="Calculation 4 2 6 2 4" xfId="10249" xr:uid="{00000000-0005-0000-0000-0000C2070000}"/>
    <cellStyle name="Calculation 4 2 6 3" xfId="5546" xr:uid="{00000000-0005-0000-0000-0000C3070000}"/>
    <cellStyle name="Calculation 4 2 6 4" xfId="7624" xr:uid="{00000000-0005-0000-0000-0000C4070000}"/>
    <cellStyle name="Calculation 4 2 6 5" xfId="11327" xr:uid="{00000000-0005-0000-0000-0000C5070000}"/>
    <cellStyle name="Calculation 4 2 7" xfId="1966" xr:uid="{00000000-0005-0000-0000-0000C6070000}"/>
    <cellStyle name="Calculation 4 2 7 2" xfId="3429" xr:uid="{00000000-0005-0000-0000-0000C7070000}"/>
    <cellStyle name="Calculation 4 2 7 2 2" xfId="6999" xr:uid="{00000000-0005-0000-0000-0000C8070000}"/>
    <cellStyle name="Calculation 4 2 7 2 3" xfId="8965" xr:uid="{00000000-0005-0000-0000-0000C9070000}"/>
    <cellStyle name="Calculation 4 2 7 2 4" xfId="10256" xr:uid="{00000000-0005-0000-0000-0000CA070000}"/>
    <cellStyle name="Calculation 4 2 7 3" xfId="5554" xr:uid="{00000000-0005-0000-0000-0000CB070000}"/>
    <cellStyle name="Calculation 4 2 7 4" xfId="7791" xr:uid="{00000000-0005-0000-0000-0000CC070000}"/>
    <cellStyle name="Calculation 4 2 7 5" xfId="11334" xr:uid="{00000000-0005-0000-0000-0000CD070000}"/>
    <cellStyle name="Calculation 4 2 8" xfId="2258" xr:uid="{00000000-0005-0000-0000-0000CE070000}"/>
    <cellStyle name="Calculation 4 2 8 2" xfId="3715" xr:uid="{00000000-0005-0000-0000-0000CF070000}"/>
    <cellStyle name="Calculation 4 2 8 2 2" xfId="7285" xr:uid="{00000000-0005-0000-0000-0000D0070000}"/>
    <cellStyle name="Calculation 4 2 8 2 3" xfId="9250" xr:uid="{00000000-0005-0000-0000-0000D1070000}"/>
    <cellStyle name="Calculation 4 2 8 2 4" xfId="10542" xr:uid="{00000000-0005-0000-0000-0000D2070000}"/>
    <cellStyle name="Calculation 4 2 8 3" xfId="5846" xr:uid="{00000000-0005-0000-0000-0000D3070000}"/>
    <cellStyle name="Calculation 4 2 8 4" xfId="1005" xr:uid="{00000000-0005-0000-0000-0000D4070000}"/>
    <cellStyle name="Calculation 4 2 8 5" xfId="11624" xr:uid="{00000000-0005-0000-0000-0000D5070000}"/>
    <cellStyle name="Calculation 4 2 9" xfId="2350" xr:uid="{00000000-0005-0000-0000-0000D6070000}"/>
    <cellStyle name="Calculation 4 2 9 2" xfId="3806" xr:uid="{00000000-0005-0000-0000-0000D7070000}"/>
    <cellStyle name="Calculation 4 2 9 2 2" xfId="7376" xr:uid="{00000000-0005-0000-0000-0000D8070000}"/>
    <cellStyle name="Calculation 4 2 9 2 3" xfId="9339" xr:uid="{00000000-0005-0000-0000-0000D9070000}"/>
    <cellStyle name="Calculation 4 2 9 2 4" xfId="10633" xr:uid="{00000000-0005-0000-0000-0000DA070000}"/>
    <cellStyle name="Calculation 4 2 9 3" xfId="5938" xr:uid="{00000000-0005-0000-0000-0000DB070000}"/>
    <cellStyle name="Calculation 4 2 9 4" xfId="5345" xr:uid="{00000000-0005-0000-0000-0000DC070000}"/>
    <cellStyle name="Calculation 4 2 9 5" xfId="11715" xr:uid="{00000000-0005-0000-0000-0000DD070000}"/>
    <cellStyle name="Calculation 4 3" xfId="1430" xr:uid="{00000000-0005-0000-0000-0000DE070000}"/>
    <cellStyle name="Calculation 4 3 2" xfId="2917" xr:uid="{00000000-0005-0000-0000-0000DF070000}"/>
    <cellStyle name="Calculation 4 3 2 2" xfId="6495" xr:uid="{00000000-0005-0000-0000-0000E0070000}"/>
    <cellStyle name="Calculation 4 3 2 3" xfId="8497" xr:uid="{00000000-0005-0000-0000-0000E1070000}"/>
    <cellStyle name="Calculation 4 3 2 4" xfId="9820" xr:uid="{00000000-0005-0000-0000-0000E2070000}"/>
    <cellStyle name="Calculation 4 3 3" xfId="5028" xr:uid="{00000000-0005-0000-0000-0000E3070000}"/>
    <cellStyle name="Calculation 4 3 4" xfId="4052" xr:uid="{00000000-0005-0000-0000-0000E4070000}"/>
    <cellStyle name="Calculation 4 3 5" xfId="10902" xr:uid="{00000000-0005-0000-0000-0000E5070000}"/>
    <cellStyle name="Calculation 4 4" xfId="1876" xr:uid="{00000000-0005-0000-0000-0000E6070000}"/>
    <cellStyle name="Calculation 4 4 2" xfId="3347" xr:uid="{00000000-0005-0000-0000-0000E7070000}"/>
    <cellStyle name="Calculation 4 4 2 2" xfId="6917" xr:uid="{00000000-0005-0000-0000-0000E8070000}"/>
    <cellStyle name="Calculation 4 4 2 3" xfId="8885" xr:uid="{00000000-0005-0000-0000-0000E9070000}"/>
    <cellStyle name="Calculation 4 4 2 4" xfId="10175" xr:uid="{00000000-0005-0000-0000-0000EA070000}"/>
    <cellStyle name="Calculation 4 4 3" xfId="5464" xr:uid="{00000000-0005-0000-0000-0000EB070000}"/>
    <cellStyle name="Calculation 4 4 4" xfId="4445" xr:uid="{00000000-0005-0000-0000-0000EC070000}"/>
    <cellStyle name="Calculation 4 4 5" xfId="11253" xr:uid="{00000000-0005-0000-0000-0000ED070000}"/>
    <cellStyle name="Calculation 4 5" xfId="1495" xr:uid="{00000000-0005-0000-0000-0000EE070000}"/>
    <cellStyle name="Calculation 4 5 2" xfId="2980" xr:uid="{00000000-0005-0000-0000-0000EF070000}"/>
    <cellStyle name="Calculation 4 5 2 2" xfId="6557" xr:uid="{00000000-0005-0000-0000-0000F0070000}"/>
    <cellStyle name="Calculation 4 5 2 3" xfId="8558" xr:uid="{00000000-0005-0000-0000-0000F1070000}"/>
    <cellStyle name="Calculation 4 5 2 4" xfId="9881" xr:uid="{00000000-0005-0000-0000-0000F2070000}"/>
    <cellStyle name="Calculation 4 5 3" xfId="5092" xr:uid="{00000000-0005-0000-0000-0000F3070000}"/>
    <cellStyle name="Calculation 4 5 4" xfId="9260" xr:uid="{00000000-0005-0000-0000-0000F4070000}"/>
    <cellStyle name="Calculation 4 5 5" xfId="10962" xr:uid="{00000000-0005-0000-0000-0000F5070000}"/>
    <cellStyle name="Calculation 4 6" xfId="2567" xr:uid="{00000000-0005-0000-0000-0000F6070000}"/>
    <cellStyle name="Calculation 4 6 2" xfId="6155" xr:uid="{00000000-0005-0000-0000-0000F7070000}"/>
    <cellStyle name="Calculation 4 6 3" xfId="8181" xr:uid="{00000000-0005-0000-0000-0000F8070000}"/>
    <cellStyle name="Calculation 4 6 4" xfId="9534" xr:uid="{00000000-0005-0000-0000-0000F9070000}"/>
    <cellStyle name="Calculation 4 7" xfId="4310" xr:uid="{00000000-0005-0000-0000-0000FA070000}"/>
    <cellStyle name="Calculation 4 8" xfId="5003" xr:uid="{00000000-0005-0000-0000-0000FB070000}"/>
    <cellStyle name="Calculation 4 9" xfId="8054" xr:uid="{00000000-0005-0000-0000-0000FC070000}"/>
    <cellStyle name="Calculation 5" xfId="655" xr:uid="{00000000-0005-0000-0000-0000FD070000}"/>
    <cellStyle name="Calculation 5 2" xfId="1151" xr:uid="{00000000-0005-0000-0000-0000FE070000}"/>
    <cellStyle name="Calculation 5 2 10" xfId="1843" xr:uid="{00000000-0005-0000-0000-0000FF070000}"/>
    <cellStyle name="Calculation 5 2 10 2" xfId="3317" xr:uid="{00000000-0005-0000-0000-000000080000}"/>
    <cellStyle name="Calculation 5 2 10 2 2" xfId="6887" xr:uid="{00000000-0005-0000-0000-000001080000}"/>
    <cellStyle name="Calculation 5 2 10 2 3" xfId="8855" xr:uid="{00000000-0005-0000-0000-000002080000}"/>
    <cellStyle name="Calculation 5 2 10 2 4" xfId="10147" xr:uid="{00000000-0005-0000-0000-000003080000}"/>
    <cellStyle name="Calculation 5 2 10 3" xfId="5432" xr:uid="{00000000-0005-0000-0000-000004080000}"/>
    <cellStyle name="Calculation 5 2 10 4" xfId="8359" xr:uid="{00000000-0005-0000-0000-000005080000}"/>
    <cellStyle name="Calculation 5 2 10 5" xfId="11224" xr:uid="{00000000-0005-0000-0000-000006080000}"/>
    <cellStyle name="Calculation 5 2 11" xfId="1377" xr:uid="{00000000-0005-0000-0000-000007080000}"/>
    <cellStyle name="Calculation 5 2 11 2" xfId="2873" xr:uid="{00000000-0005-0000-0000-000008080000}"/>
    <cellStyle name="Calculation 5 2 11 2 2" xfId="6452" xr:uid="{00000000-0005-0000-0000-000009080000}"/>
    <cellStyle name="Calculation 5 2 11 2 3" xfId="8453" xr:uid="{00000000-0005-0000-0000-00000A080000}"/>
    <cellStyle name="Calculation 5 2 11 2 4" xfId="9778" xr:uid="{00000000-0005-0000-0000-00000B080000}"/>
    <cellStyle name="Calculation 5 2 11 3" xfId="4975" xr:uid="{00000000-0005-0000-0000-00000C080000}"/>
    <cellStyle name="Calculation 5 2 11 4" xfId="8753" xr:uid="{00000000-0005-0000-0000-00000D080000}"/>
    <cellStyle name="Calculation 5 2 11 5" xfId="10860" xr:uid="{00000000-0005-0000-0000-00000E080000}"/>
    <cellStyle name="Calculation 5 2 12" xfId="2677" xr:uid="{00000000-0005-0000-0000-00000F080000}"/>
    <cellStyle name="Calculation 5 2 12 2" xfId="6261" xr:uid="{00000000-0005-0000-0000-000010080000}"/>
    <cellStyle name="Calculation 5 2 12 3" xfId="8274" xr:uid="{00000000-0005-0000-0000-000011080000}"/>
    <cellStyle name="Calculation 5 2 12 4" xfId="9614" xr:uid="{00000000-0005-0000-0000-000012080000}"/>
    <cellStyle name="Calculation 5 2 13" xfId="4750" xr:uid="{00000000-0005-0000-0000-000013080000}"/>
    <cellStyle name="Calculation 5 2 14" xfId="4202" xr:uid="{00000000-0005-0000-0000-000014080000}"/>
    <cellStyle name="Calculation 5 2 15" xfId="8145" xr:uid="{00000000-0005-0000-0000-000015080000}"/>
    <cellStyle name="Calculation 5 2 2" xfId="1704" xr:uid="{00000000-0005-0000-0000-000016080000}"/>
    <cellStyle name="Calculation 5 2 2 2" xfId="3182" xr:uid="{00000000-0005-0000-0000-000017080000}"/>
    <cellStyle name="Calculation 5 2 2 2 2" xfId="6756" xr:uid="{00000000-0005-0000-0000-000018080000}"/>
    <cellStyle name="Calculation 5 2 2 2 3" xfId="8733" xr:uid="{00000000-0005-0000-0000-000019080000}"/>
    <cellStyle name="Calculation 5 2 2 2 4" xfId="10037" xr:uid="{00000000-0005-0000-0000-00001A080000}"/>
    <cellStyle name="Calculation 5 2 2 3" xfId="5296" xr:uid="{00000000-0005-0000-0000-00001B080000}"/>
    <cellStyle name="Calculation 5 2 2 4" xfId="4384" xr:uid="{00000000-0005-0000-0000-00001C080000}"/>
    <cellStyle name="Calculation 5 2 2 5" xfId="11114" xr:uid="{00000000-0005-0000-0000-00001D080000}"/>
    <cellStyle name="Calculation 5 2 3" xfId="1871" xr:uid="{00000000-0005-0000-0000-00001E080000}"/>
    <cellStyle name="Calculation 5 2 3 2" xfId="3342" xr:uid="{00000000-0005-0000-0000-00001F080000}"/>
    <cellStyle name="Calculation 5 2 3 2 2" xfId="6912" xr:uid="{00000000-0005-0000-0000-000020080000}"/>
    <cellStyle name="Calculation 5 2 3 2 3" xfId="8880" xr:uid="{00000000-0005-0000-0000-000021080000}"/>
    <cellStyle name="Calculation 5 2 3 2 4" xfId="10170" xr:uid="{00000000-0005-0000-0000-000022080000}"/>
    <cellStyle name="Calculation 5 2 3 3" xfId="5459" xr:uid="{00000000-0005-0000-0000-000023080000}"/>
    <cellStyle name="Calculation 5 2 3 4" xfId="4442" xr:uid="{00000000-0005-0000-0000-000024080000}"/>
    <cellStyle name="Calculation 5 2 3 5" xfId="11248" xr:uid="{00000000-0005-0000-0000-000025080000}"/>
    <cellStyle name="Calculation 5 2 4" xfId="1573" xr:uid="{00000000-0005-0000-0000-000026080000}"/>
    <cellStyle name="Calculation 5 2 4 2" xfId="3056" xr:uid="{00000000-0005-0000-0000-000027080000}"/>
    <cellStyle name="Calculation 5 2 4 2 2" xfId="6633" xr:uid="{00000000-0005-0000-0000-000028080000}"/>
    <cellStyle name="Calculation 5 2 4 2 3" xfId="8621" xr:uid="{00000000-0005-0000-0000-000029080000}"/>
    <cellStyle name="Calculation 5 2 4 2 4" xfId="9937" xr:uid="{00000000-0005-0000-0000-00002A080000}"/>
    <cellStyle name="Calculation 5 2 4 3" xfId="5170" xr:uid="{00000000-0005-0000-0000-00002B080000}"/>
    <cellStyle name="Calculation 5 2 4 4" xfId="7859" xr:uid="{00000000-0005-0000-0000-00002C080000}"/>
    <cellStyle name="Calculation 5 2 4 5" xfId="11019" xr:uid="{00000000-0005-0000-0000-00002D080000}"/>
    <cellStyle name="Calculation 5 2 5" xfId="1310" xr:uid="{00000000-0005-0000-0000-00002E080000}"/>
    <cellStyle name="Calculation 5 2 5 2" xfId="2810" xr:uid="{00000000-0005-0000-0000-00002F080000}"/>
    <cellStyle name="Calculation 5 2 5 2 2" xfId="6389" xr:uid="{00000000-0005-0000-0000-000030080000}"/>
    <cellStyle name="Calculation 5 2 5 2 3" xfId="8392" xr:uid="{00000000-0005-0000-0000-000031080000}"/>
    <cellStyle name="Calculation 5 2 5 2 4" xfId="9715" xr:uid="{00000000-0005-0000-0000-000032080000}"/>
    <cellStyle name="Calculation 5 2 5 3" xfId="4908" xr:uid="{00000000-0005-0000-0000-000033080000}"/>
    <cellStyle name="Calculation 5 2 5 4" xfId="7862" xr:uid="{00000000-0005-0000-0000-000034080000}"/>
    <cellStyle name="Calculation 5 2 5 5" xfId="8816" xr:uid="{00000000-0005-0000-0000-000035080000}"/>
    <cellStyle name="Calculation 5 2 6" xfId="1489" xr:uid="{00000000-0005-0000-0000-000036080000}"/>
    <cellStyle name="Calculation 5 2 6 2" xfId="2974" xr:uid="{00000000-0005-0000-0000-000037080000}"/>
    <cellStyle name="Calculation 5 2 6 2 2" xfId="6551" xr:uid="{00000000-0005-0000-0000-000038080000}"/>
    <cellStyle name="Calculation 5 2 6 2 3" xfId="8552" xr:uid="{00000000-0005-0000-0000-000039080000}"/>
    <cellStyle name="Calculation 5 2 6 2 4" xfId="9875" xr:uid="{00000000-0005-0000-0000-00003A080000}"/>
    <cellStyle name="Calculation 5 2 6 3" xfId="5086" xr:uid="{00000000-0005-0000-0000-00003B080000}"/>
    <cellStyle name="Calculation 5 2 6 4" xfId="7752" xr:uid="{00000000-0005-0000-0000-00003C080000}"/>
    <cellStyle name="Calculation 5 2 6 5" xfId="10956" xr:uid="{00000000-0005-0000-0000-00003D080000}"/>
    <cellStyle name="Calculation 5 2 7" xfId="1623" xr:uid="{00000000-0005-0000-0000-00003E080000}"/>
    <cellStyle name="Calculation 5 2 7 2" xfId="3106" xr:uid="{00000000-0005-0000-0000-00003F080000}"/>
    <cellStyle name="Calculation 5 2 7 2 2" xfId="6682" xr:uid="{00000000-0005-0000-0000-000040080000}"/>
    <cellStyle name="Calculation 5 2 7 2 3" xfId="8669" xr:uid="{00000000-0005-0000-0000-000041080000}"/>
    <cellStyle name="Calculation 5 2 7 2 4" xfId="9986" xr:uid="{00000000-0005-0000-0000-000042080000}"/>
    <cellStyle name="Calculation 5 2 7 3" xfId="5219" xr:uid="{00000000-0005-0000-0000-000043080000}"/>
    <cellStyle name="Calculation 5 2 7 4" xfId="4068" xr:uid="{00000000-0005-0000-0000-000044080000}"/>
    <cellStyle name="Calculation 5 2 7 5" xfId="11068" xr:uid="{00000000-0005-0000-0000-000045080000}"/>
    <cellStyle name="Calculation 5 2 8" xfId="2259" xr:uid="{00000000-0005-0000-0000-000046080000}"/>
    <cellStyle name="Calculation 5 2 8 2" xfId="3716" xr:uid="{00000000-0005-0000-0000-000047080000}"/>
    <cellStyle name="Calculation 5 2 8 2 2" xfId="7286" xr:uid="{00000000-0005-0000-0000-000048080000}"/>
    <cellStyle name="Calculation 5 2 8 2 3" xfId="9251" xr:uid="{00000000-0005-0000-0000-000049080000}"/>
    <cellStyle name="Calculation 5 2 8 2 4" xfId="10543" xr:uid="{00000000-0005-0000-0000-00004A080000}"/>
    <cellStyle name="Calculation 5 2 8 3" xfId="5847" xr:uid="{00000000-0005-0000-0000-00004B080000}"/>
    <cellStyle name="Calculation 5 2 8 4" xfId="4042" xr:uid="{00000000-0005-0000-0000-00004C080000}"/>
    <cellStyle name="Calculation 5 2 8 5" xfId="11625" xr:uid="{00000000-0005-0000-0000-00004D080000}"/>
    <cellStyle name="Calculation 5 2 9" xfId="2351" xr:uid="{00000000-0005-0000-0000-00004E080000}"/>
    <cellStyle name="Calculation 5 2 9 2" xfId="3807" xr:uid="{00000000-0005-0000-0000-00004F080000}"/>
    <cellStyle name="Calculation 5 2 9 2 2" xfId="7377" xr:uid="{00000000-0005-0000-0000-000050080000}"/>
    <cellStyle name="Calculation 5 2 9 2 3" xfId="9340" xr:uid="{00000000-0005-0000-0000-000051080000}"/>
    <cellStyle name="Calculation 5 2 9 2 4" xfId="10634" xr:uid="{00000000-0005-0000-0000-000052080000}"/>
    <cellStyle name="Calculation 5 2 9 3" xfId="5939" xr:uid="{00000000-0005-0000-0000-000053080000}"/>
    <cellStyle name="Calculation 5 2 9 4" xfId="6803" xr:uid="{00000000-0005-0000-0000-000054080000}"/>
    <cellStyle name="Calculation 5 2 9 5" xfId="11716" xr:uid="{00000000-0005-0000-0000-000055080000}"/>
    <cellStyle name="Calculation 5 3" xfId="1431" xr:uid="{00000000-0005-0000-0000-000056080000}"/>
    <cellStyle name="Calculation 5 3 2" xfId="2918" xr:uid="{00000000-0005-0000-0000-000057080000}"/>
    <cellStyle name="Calculation 5 3 2 2" xfId="6496" xr:uid="{00000000-0005-0000-0000-000058080000}"/>
    <cellStyle name="Calculation 5 3 2 3" xfId="8498" xr:uid="{00000000-0005-0000-0000-000059080000}"/>
    <cellStyle name="Calculation 5 3 2 4" xfId="9821" xr:uid="{00000000-0005-0000-0000-00005A080000}"/>
    <cellStyle name="Calculation 5 3 3" xfId="5029" xr:uid="{00000000-0005-0000-0000-00005B080000}"/>
    <cellStyle name="Calculation 5 3 4" xfId="4353" xr:uid="{00000000-0005-0000-0000-00005C080000}"/>
    <cellStyle name="Calculation 5 3 5" xfId="10903" xr:uid="{00000000-0005-0000-0000-00005D080000}"/>
    <cellStyle name="Calculation 5 4" xfId="1298" xr:uid="{00000000-0005-0000-0000-00005E080000}"/>
    <cellStyle name="Calculation 5 4 2" xfId="2798" xr:uid="{00000000-0005-0000-0000-00005F080000}"/>
    <cellStyle name="Calculation 5 4 2 2" xfId="6377" xr:uid="{00000000-0005-0000-0000-000060080000}"/>
    <cellStyle name="Calculation 5 4 2 3" xfId="8383" xr:uid="{00000000-0005-0000-0000-000061080000}"/>
    <cellStyle name="Calculation 5 4 2 4" xfId="9707" xr:uid="{00000000-0005-0000-0000-000062080000}"/>
    <cellStyle name="Calculation 5 4 3" xfId="4896" xr:uid="{00000000-0005-0000-0000-000063080000}"/>
    <cellStyle name="Calculation 5 4 4" xfId="7693" xr:uid="{00000000-0005-0000-0000-000064080000}"/>
    <cellStyle name="Calculation 5 4 5" xfId="4247" xr:uid="{00000000-0005-0000-0000-000065080000}"/>
    <cellStyle name="Calculation 5 5" xfId="1458" xr:uid="{00000000-0005-0000-0000-000066080000}"/>
    <cellStyle name="Calculation 5 5 2" xfId="2943" xr:uid="{00000000-0005-0000-0000-000067080000}"/>
    <cellStyle name="Calculation 5 5 2 2" xfId="6520" xr:uid="{00000000-0005-0000-0000-000068080000}"/>
    <cellStyle name="Calculation 5 5 2 3" xfId="8523" xr:uid="{00000000-0005-0000-0000-000069080000}"/>
    <cellStyle name="Calculation 5 5 2 4" xfId="9844" xr:uid="{00000000-0005-0000-0000-00006A080000}"/>
    <cellStyle name="Calculation 5 5 3" xfId="5055" xr:uid="{00000000-0005-0000-0000-00006B080000}"/>
    <cellStyle name="Calculation 5 5 4" xfId="7811" xr:uid="{00000000-0005-0000-0000-00006C080000}"/>
    <cellStyle name="Calculation 5 5 5" xfId="10925" xr:uid="{00000000-0005-0000-0000-00006D080000}"/>
    <cellStyle name="Calculation 5 6" xfId="2568" xr:uid="{00000000-0005-0000-0000-00006E080000}"/>
    <cellStyle name="Calculation 5 6 2" xfId="6156" xr:uid="{00000000-0005-0000-0000-00006F080000}"/>
    <cellStyle name="Calculation 5 6 3" xfId="8182" xr:uid="{00000000-0005-0000-0000-000070080000}"/>
    <cellStyle name="Calculation 5 6 4" xfId="9535" xr:uid="{00000000-0005-0000-0000-000071080000}"/>
    <cellStyle name="Calculation 5 7" xfId="4311" xr:uid="{00000000-0005-0000-0000-000072080000}"/>
    <cellStyle name="Calculation 5 8" xfId="4448" xr:uid="{00000000-0005-0000-0000-000073080000}"/>
    <cellStyle name="Calculation 5 9" xfId="8006" xr:uid="{00000000-0005-0000-0000-000074080000}"/>
    <cellStyle name="Calculation 6" xfId="656" xr:uid="{00000000-0005-0000-0000-000075080000}"/>
    <cellStyle name="Calculation 6 2" xfId="1152" xr:uid="{00000000-0005-0000-0000-000076080000}"/>
    <cellStyle name="Calculation 6 2 10" xfId="2239" xr:uid="{00000000-0005-0000-0000-000077080000}"/>
    <cellStyle name="Calculation 6 2 10 2" xfId="3696" xr:uid="{00000000-0005-0000-0000-000078080000}"/>
    <cellStyle name="Calculation 6 2 10 2 2" xfId="7266" xr:uid="{00000000-0005-0000-0000-000079080000}"/>
    <cellStyle name="Calculation 6 2 10 2 3" xfId="9231" xr:uid="{00000000-0005-0000-0000-00007A080000}"/>
    <cellStyle name="Calculation 6 2 10 2 4" xfId="10523" xr:uid="{00000000-0005-0000-0000-00007B080000}"/>
    <cellStyle name="Calculation 6 2 10 3" xfId="5827" xr:uid="{00000000-0005-0000-0000-00007C080000}"/>
    <cellStyle name="Calculation 6 2 10 4" xfId="4533" xr:uid="{00000000-0005-0000-0000-00007D080000}"/>
    <cellStyle name="Calculation 6 2 10 5" xfId="11605" xr:uid="{00000000-0005-0000-0000-00007E080000}"/>
    <cellStyle name="Calculation 6 2 11" xfId="1638" xr:uid="{00000000-0005-0000-0000-00007F080000}"/>
    <cellStyle name="Calculation 6 2 11 2" xfId="3119" xr:uid="{00000000-0005-0000-0000-000080080000}"/>
    <cellStyle name="Calculation 6 2 11 2 2" xfId="6695" xr:uid="{00000000-0005-0000-0000-000081080000}"/>
    <cellStyle name="Calculation 6 2 11 2 3" xfId="8682" xr:uid="{00000000-0005-0000-0000-000082080000}"/>
    <cellStyle name="Calculation 6 2 11 2 4" xfId="9995" xr:uid="{00000000-0005-0000-0000-000083080000}"/>
    <cellStyle name="Calculation 6 2 11 3" xfId="5232" xr:uid="{00000000-0005-0000-0000-000084080000}"/>
    <cellStyle name="Calculation 6 2 11 4" xfId="8481" xr:uid="{00000000-0005-0000-0000-000085080000}"/>
    <cellStyle name="Calculation 6 2 11 5" xfId="11074" xr:uid="{00000000-0005-0000-0000-000086080000}"/>
    <cellStyle name="Calculation 6 2 12" xfId="2678" xr:uid="{00000000-0005-0000-0000-000087080000}"/>
    <cellStyle name="Calculation 6 2 12 2" xfId="6262" xr:uid="{00000000-0005-0000-0000-000088080000}"/>
    <cellStyle name="Calculation 6 2 12 3" xfId="8275" xr:uid="{00000000-0005-0000-0000-000089080000}"/>
    <cellStyle name="Calculation 6 2 12 4" xfId="9615" xr:uid="{00000000-0005-0000-0000-00008A080000}"/>
    <cellStyle name="Calculation 6 2 13" xfId="4751" xr:uid="{00000000-0005-0000-0000-00008B080000}"/>
    <cellStyle name="Calculation 6 2 14" xfId="201" xr:uid="{00000000-0005-0000-0000-00008C080000}"/>
    <cellStyle name="Calculation 6 2 15" xfId="8118" xr:uid="{00000000-0005-0000-0000-00008D080000}"/>
    <cellStyle name="Calculation 6 2 2" xfId="1705" xr:uid="{00000000-0005-0000-0000-00008E080000}"/>
    <cellStyle name="Calculation 6 2 2 2" xfId="3183" xr:uid="{00000000-0005-0000-0000-00008F080000}"/>
    <cellStyle name="Calculation 6 2 2 2 2" xfId="6757" xr:uid="{00000000-0005-0000-0000-000090080000}"/>
    <cellStyle name="Calculation 6 2 2 2 3" xfId="8734" xr:uid="{00000000-0005-0000-0000-000091080000}"/>
    <cellStyle name="Calculation 6 2 2 2 4" xfId="10038" xr:uid="{00000000-0005-0000-0000-000092080000}"/>
    <cellStyle name="Calculation 6 2 2 3" xfId="5297" xr:uid="{00000000-0005-0000-0000-000093080000}"/>
    <cellStyle name="Calculation 6 2 2 4" xfId="4385" xr:uid="{00000000-0005-0000-0000-000094080000}"/>
    <cellStyle name="Calculation 6 2 2 5" xfId="11115" xr:uid="{00000000-0005-0000-0000-000095080000}"/>
    <cellStyle name="Calculation 6 2 3" xfId="1872" xr:uid="{00000000-0005-0000-0000-000096080000}"/>
    <cellStyle name="Calculation 6 2 3 2" xfId="3343" xr:uid="{00000000-0005-0000-0000-000097080000}"/>
    <cellStyle name="Calculation 6 2 3 2 2" xfId="6913" xr:uid="{00000000-0005-0000-0000-000098080000}"/>
    <cellStyle name="Calculation 6 2 3 2 3" xfId="8881" xr:uid="{00000000-0005-0000-0000-000099080000}"/>
    <cellStyle name="Calculation 6 2 3 2 4" xfId="10171" xr:uid="{00000000-0005-0000-0000-00009A080000}"/>
    <cellStyle name="Calculation 6 2 3 3" xfId="5460" xr:uid="{00000000-0005-0000-0000-00009B080000}"/>
    <cellStyle name="Calculation 6 2 3 4" xfId="4443" xr:uid="{00000000-0005-0000-0000-00009C080000}"/>
    <cellStyle name="Calculation 6 2 3 5" xfId="11249" xr:uid="{00000000-0005-0000-0000-00009D080000}"/>
    <cellStyle name="Calculation 6 2 4" xfId="1680" xr:uid="{00000000-0005-0000-0000-00009E080000}"/>
    <cellStyle name="Calculation 6 2 4 2" xfId="3158" xr:uid="{00000000-0005-0000-0000-00009F080000}"/>
    <cellStyle name="Calculation 6 2 4 2 2" xfId="6732" xr:uid="{00000000-0005-0000-0000-0000A0080000}"/>
    <cellStyle name="Calculation 6 2 4 2 3" xfId="8713" xr:uid="{00000000-0005-0000-0000-0000A1080000}"/>
    <cellStyle name="Calculation 6 2 4 2 4" xfId="10018" xr:uid="{00000000-0005-0000-0000-0000A2080000}"/>
    <cellStyle name="Calculation 6 2 4 3" xfId="5272" xr:uid="{00000000-0005-0000-0000-0000A3080000}"/>
    <cellStyle name="Calculation 6 2 4 4" xfId="4667" xr:uid="{00000000-0005-0000-0000-0000A4080000}"/>
    <cellStyle name="Calculation 6 2 4 5" xfId="11095" xr:uid="{00000000-0005-0000-0000-0000A5080000}"/>
    <cellStyle name="Calculation 6 2 5" xfId="1309" xr:uid="{00000000-0005-0000-0000-0000A6080000}"/>
    <cellStyle name="Calculation 6 2 5 2" xfId="2809" xr:uid="{00000000-0005-0000-0000-0000A7080000}"/>
    <cellStyle name="Calculation 6 2 5 2 2" xfId="6388" xr:uid="{00000000-0005-0000-0000-0000A8080000}"/>
    <cellStyle name="Calculation 6 2 5 2 3" xfId="8391" xr:uid="{00000000-0005-0000-0000-0000A9080000}"/>
    <cellStyle name="Calculation 6 2 5 2 4" xfId="9714" xr:uid="{00000000-0005-0000-0000-0000AA080000}"/>
    <cellStyle name="Calculation 6 2 5 3" xfId="4907" xr:uid="{00000000-0005-0000-0000-0000AB080000}"/>
    <cellStyle name="Calculation 6 2 5 4" xfId="7856" xr:uid="{00000000-0005-0000-0000-0000AC080000}"/>
    <cellStyle name="Calculation 6 2 5 5" xfId="7831" xr:uid="{00000000-0005-0000-0000-0000AD080000}"/>
    <cellStyle name="Calculation 6 2 6" xfId="1490" xr:uid="{00000000-0005-0000-0000-0000AE080000}"/>
    <cellStyle name="Calculation 6 2 6 2" xfId="2975" xr:uid="{00000000-0005-0000-0000-0000AF080000}"/>
    <cellStyle name="Calculation 6 2 6 2 2" xfId="6552" xr:uid="{00000000-0005-0000-0000-0000B0080000}"/>
    <cellStyle name="Calculation 6 2 6 2 3" xfId="8553" xr:uid="{00000000-0005-0000-0000-0000B1080000}"/>
    <cellStyle name="Calculation 6 2 6 2 4" xfId="9876" xr:uid="{00000000-0005-0000-0000-0000B2080000}"/>
    <cellStyle name="Calculation 6 2 6 3" xfId="5087" xr:uid="{00000000-0005-0000-0000-0000B3080000}"/>
    <cellStyle name="Calculation 6 2 6 4" xfId="7875" xr:uid="{00000000-0005-0000-0000-0000B4080000}"/>
    <cellStyle name="Calculation 6 2 6 5" xfId="10957" xr:uid="{00000000-0005-0000-0000-0000B5080000}"/>
    <cellStyle name="Calculation 6 2 7" xfId="1842" xr:uid="{00000000-0005-0000-0000-0000B6080000}"/>
    <cellStyle name="Calculation 6 2 7 2" xfId="3316" xr:uid="{00000000-0005-0000-0000-0000B7080000}"/>
    <cellStyle name="Calculation 6 2 7 2 2" xfId="6886" xr:uid="{00000000-0005-0000-0000-0000B8080000}"/>
    <cellStyle name="Calculation 6 2 7 2 3" xfId="8854" xr:uid="{00000000-0005-0000-0000-0000B9080000}"/>
    <cellStyle name="Calculation 6 2 7 2 4" xfId="10146" xr:uid="{00000000-0005-0000-0000-0000BA080000}"/>
    <cellStyle name="Calculation 6 2 7 3" xfId="5431" xr:uid="{00000000-0005-0000-0000-0000BB080000}"/>
    <cellStyle name="Calculation 6 2 7 4" xfId="7772" xr:uid="{00000000-0005-0000-0000-0000BC080000}"/>
    <cellStyle name="Calculation 6 2 7 5" xfId="11223" xr:uid="{00000000-0005-0000-0000-0000BD080000}"/>
    <cellStyle name="Calculation 6 2 8" xfId="2260" xr:uid="{00000000-0005-0000-0000-0000BE080000}"/>
    <cellStyle name="Calculation 6 2 8 2" xfId="3717" xr:uid="{00000000-0005-0000-0000-0000BF080000}"/>
    <cellStyle name="Calculation 6 2 8 2 2" xfId="7287" xr:uid="{00000000-0005-0000-0000-0000C0080000}"/>
    <cellStyle name="Calculation 6 2 8 2 3" xfId="9252" xr:uid="{00000000-0005-0000-0000-0000C1080000}"/>
    <cellStyle name="Calculation 6 2 8 2 4" xfId="10544" xr:uid="{00000000-0005-0000-0000-0000C2080000}"/>
    <cellStyle name="Calculation 6 2 8 3" xfId="5848" xr:uid="{00000000-0005-0000-0000-0000C3080000}"/>
    <cellStyle name="Calculation 6 2 8 4" xfId="4048" xr:uid="{00000000-0005-0000-0000-0000C4080000}"/>
    <cellStyle name="Calculation 6 2 8 5" xfId="11626" xr:uid="{00000000-0005-0000-0000-0000C5080000}"/>
    <cellStyle name="Calculation 6 2 9" xfId="2352" xr:uid="{00000000-0005-0000-0000-0000C6080000}"/>
    <cellStyle name="Calculation 6 2 9 2" xfId="3808" xr:uid="{00000000-0005-0000-0000-0000C7080000}"/>
    <cellStyle name="Calculation 6 2 9 2 2" xfId="7378" xr:uid="{00000000-0005-0000-0000-0000C8080000}"/>
    <cellStyle name="Calculation 6 2 9 2 3" xfId="9341" xr:uid="{00000000-0005-0000-0000-0000C9080000}"/>
    <cellStyle name="Calculation 6 2 9 2 4" xfId="10635" xr:uid="{00000000-0005-0000-0000-0000CA080000}"/>
    <cellStyle name="Calculation 6 2 9 3" xfId="5940" xr:uid="{00000000-0005-0000-0000-0000CB080000}"/>
    <cellStyle name="Calculation 6 2 9 4" xfId="6301" xr:uid="{00000000-0005-0000-0000-0000CC080000}"/>
    <cellStyle name="Calculation 6 2 9 5" xfId="11717" xr:uid="{00000000-0005-0000-0000-0000CD080000}"/>
    <cellStyle name="Calculation 6 3" xfId="1432" xr:uid="{00000000-0005-0000-0000-0000CE080000}"/>
    <cellStyle name="Calculation 6 3 2" xfId="2919" xr:uid="{00000000-0005-0000-0000-0000CF080000}"/>
    <cellStyle name="Calculation 6 3 2 2" xfId="6497" xr:uid="{00000000-0005-0000-0000-0000D0080000}"/>
    <cellStyle name="Calculation 6 3 2 3" xfId="8499" xr:uid="{00000000-0005-0000-0000-0000D1080000}"/>
    <cellStyle name="Calculation 6 3 2 4" xfId="9822" xr:uid="{00000000-0005-0000-0000-0000D2080000}"/>
    <cellStyle name="Calculation 6 3 3" xfId="5030" xr:uid="{00000000-0005-0000-0000-0000D3080000}"/>
    <cellStyle name="Calculation 6 3 4" xfId="4765" xr:uid="{00000000-0005-0000-0000-0000D4080000}"/>
    <cellStyle name="Calculation 6 3 5" xfId="10904" xr:uid="{00000000-0005-0000-0000-0000D5080000}"/>
    <cellStyle name="Calculation 6 4" xfId="1328" xr:uid="{00000000-0005-0000-0000-0000D6080000}"/>
    <cellStyle name="Calculation 6 4 2" xfId="2826" xr:uid="{00000000-0005-0000-0000-0000D7080000}"/>
    <cellStyle name="Calculation 6 4 2 2" xfId="6405" xr:uid="{00000000-0005-0000-0000-0000D8080000}"/>
    <cellStyle name="Calculation 6 4 2 3" xfId="8408" xr:uid="{00000000-0005-0000-0000-0000D9080000}"/>
    <cellStyle name="Calculation 6 4 2 4" xfId="9731" xr:uid="{00000000-0005-0000-0000-0000DA080000}"/>
    <cellStyle name="Calculation 6 4 3" xfId="4926" xr:uid="{00000000-0005-0000-0000-0000DB080000}"/>
    <cellStyle name="Calculation 6 4 4" xfId="7682" xr:uid="{00000000-0005-0000-0000-0000DC080000}"/>
    <cellStyle name="Calculation 6 4 5" xfId="8352" xr:uid="{00000000-0005-0000-0000-0000DD080000}"/>
    <cellStyle name="Calculation 6 5" xfId="1686" xr:uid="{00000000-0005-0000-0000-0000DE080000}"/>
    <cellStyle name="Calculation 6 5 2" xfId="3164" xr:uid="{00000000-0005-0000-0000-0000DF080000}"/>
    <cellStyle name="Calculation 6 5 2 2" xfId="6738" xr:uid="{00000000-0005-0000-0000-0000E0080000}"/>
    <cellStyle name="Calculation 6 5 2 3" xfId="8718" xr:uid="{00000000-0005-0000-0000-0000E1080000}"/>
    <cellStyle name="Calculation 6 5 2 4" xfId="10023" xr:uid="{00000000-0005-0000-0000-0000E2080000}"/>
    <cellStyle name="Calculation 6 5 3" xfId="5278" xr:uid="{00000000-0005-0000-0000-0000E3080000}"/>
    <cellStyle name="Calculation 6 5 4" xfId="4372" xr:uid="{00000000-0005-0000-0000-0000E4080000}"/>
    <cellStyle name="Calculation 6 5 5" xfId="11100" xr:uid="{00000000-0005-0000-0000-0000E5080000}"/>
    <cellStyle name="Calculation 6 6" xfId="2569" xr:uid="{00000000-0005-0000-0000-0000E6080000}"/>
    <cellStyle name="Calculation 6 6 2" xfId="6157" xr:uid="{00000000-0005-0000-0000-0000E7080000}"/>
    <cellStyle name="Calculation 6 6 3" xfId="8183" xr:uid="{00000000-0005-0000-0000-0000E8080000}"/>
    <cellStyle name="Calculation 6 6 4" xfId="9536" xr:uid="{00000000-0005-0000-0000-0000E9080000}"/>
    <cellStyle name="Calculation 6 7" xfId="4312" xr:uid="{00000000-0005-0000-0000-0000EA080000}"/>
    <cellStyle name="Calculation 6 8" xfId="5004" xr:uid="{00000000-0005-0000-0000-0000EB080000}"/>
    <cellStyle name="Calculation 6 9" xfId="7985" xr:uid="{00000000-0005-0000-0000-0000EC080000}"/>
    <cellStyle name="Calculation 7" xfId="657" xr:uid="{00000000-0005-0000-0000-0000ED080000}"/>
    <cellStyle name="Calculation 7 2" xfId="1153" xr:uid="{00000000-0005-0000-0000-0000EE080000}"/>
    <cellStyle name="Calculation 7 2 10" xfId="2331" xr:uid="{00000000-0005-0000-0000-0000EF080000}"/>
    <cellStyle name="Calculation 7 2 10 2" xfId="3788" xr:uid="{00000000-0005-0000-0000-0000F0080000}"/>
    <cellStyle name="Calculation 7 2 10 2 2" xfId="7358" xr:uid="{00000000-0005-0000-0000-0000F1080000}"/>
    <cellStyle name="Calculation 7 2 10 2 3" xfId="9321" xr:uid="{00000000-0005-0000-0000-0000F2080000}"/>
    <cellStyle name="Calculation 7 2 10 2 4" xfId="10615" xr:uid="{00000000-0005-0000-0000-0000F3080000}"/>
    <cellStyle name="Calculation 7 2 10 3" xfId="5919" xr:uid="{00000000-0005-0000-0000-0000F4080000}"/>
    <cellStyle name="Calculation 7 2 10 4" xfId="4807" xr:uid="{00000000-0005-0000-0000-0000F5080000}"/>
    <cellStyle name="Calculation 7 2 10 5" xfId="11696" xr:uid="{00000000-0005-0000-0000-0000F6080000}"/>
    <cellStyle name="Calculation 7 2 11" xfId="2199" xr:uid="{00000000-0005-0000-0000-0000F7080000}"/>
    <cellStyle name="Calculation 7 2 11 2" xfId="3658" xr:uid="{00000000-0005-0000-0000-0000F8080000}"/>
    <cellStyle name="Calculation 7 2 11 2 2" xfId="7228" xr:uid="{00000000-0005-0000-0000-0000F9080000}"/>
    <cellStyle name="Calculation 7 2 11 2 3" xfId="9193" xr:uid="{00000000-0005-0000-0000-0000FA080000}"/>
    <cellStyle name="Calculation 7 2 11 2 4" xfId="10485" xr:uid="{00000000-0005-0000-0000-0000FB080000}"/>
    <cellStyle name="Calculation 7 2 11 3" xfId="5787" xr:uid="{00000000-0005-0000-0000-0000FC080000}"/>
    <cellStyle name="Calculation 7 2 11 4" xfId="5144" xr:uid="{00000000-0005-0000-0000-0000FD080000}"/>
    <cellStyle name="Calculation 7 2 11 5" xfId="11565" xr:uid="{00000000-0005-0000-0000-0000FE080000}"/>
    <cellStyle name="Calculation 7 2 12" xfId="2679" xr:uid="{00000000-0005-0000-0000-0000FF080000}"/>
    <cellStyle name="Calculation 7 2 12 2" xfId="6263" xr:uid="{00000000-0005-0000-0000-000000090000}"/>
    <cellStyle name="Calculation 7 2 12 3" xfId="8276" xr:uid="{00000000-0005-0000-0000-000001090000}"/>
    <cellStyle name="Calculation 7 2 12 4" xfId="9616" xr:uid="{00000000-0005-0000-0000-000002090000}"/>
    <cellStyle name="Calculation 7 2 13" xfId="4752" xr:uid="{00000000-0005-0000-0000-000003090000}"/>
    <cellStyle name="Calculation 7 2 14" xfId="4201" xr:uid="{00000000-0005-0000-0000-000004090000}"/>
    <cellStyle name="Calculation 7 2 15" xfId="7766" xr:uid="{00000000-0005-0000-0000-000005090000}"/>
    <cellStyle name="Calculation 7 2 2" xfId="1706" xr:uid="{00000000-0005-0000-0000-000006090000}"/>
    <cellStyle name="Calculation 7 2 2 2" xfId="3184" xr:uid="{00000000-0005-0000-0000-000007090000}"/>
    <cellStyle name="Calculation 7 2 2 2 2" xfId="6758" xr:uid="{00000000-0005-0000-0000-000008090000}"/>
    <cellStyle name="Calculation 7 2 2 2 3" xfId="8735" xr:uid="{00000000-0005-0000-0000-000009090000}"/>
    <cellStyle name="Calculation 7 2 2 2 4" xfId="10039" xr:uid="{00000000-0005-0000-0000-00000A090000}"/>
    <cellStyle name="Calculation 7 2 2 3" xfId="5298" xr:uid="{00000000-0005-0000-0000-00000B090000}"/>
    <cellStyle name="Calculation 7 2 2 4" xfId="4386" xr:uid="{00000000-0005-0000-0000-00000C090000}"/>
    <cellStyle name="Calculation 7 2 2 5" xfId="11116" xr:uid="{00000000-0005-0000-0000-00000D090000}"/>
    <cellStyle name="Calculation 7 2 3" xfId="1873" xr:uid="{00000000-0005-0000-0000-00000E090000}"/>
    <cellStyle name="Calculation 7 2 3 2" xfId="3344" xr:uid="{00000000-0005-0000-0000-00000F090000}"/>
    <cellStyle name="Calculation 7 2 3 2 2" xfId="6914" xr:uid="{00000000-0005-0000-0000-000010090000}"/>
    <cellStyle name="Calculation 7 2 3 2 3" xfId="8882" xr:uid="{00000000-0005-0000-0000-000011090000}"/>
    <cellStyle name="Calculation 7 2 3 2 4" xfId="10172" xr:uid="{00000000-0005-0000-0000-000012090000}"/>
    <cellStyle name="Calculation 7 2 3 3" xfId="5461" xr:uid="{00000000-0005-0000-0000-000013090000}"/>
    <cellStyle name="Calculation 7 2 3 4" xfId="5470" xr:uid="{00000000-0005-0000-0000-000014090000}"/>
    <cellStyle name="Calculation 7 2 3 5" xfId="11250" xr:uid="{00000000-0005-0000-0000-000015090000}"/>
    <cellStyle name="Calculation 7 2 4" xfId="1574" xr:uid="{00000000-0005-0000-0000-000016090000}"/>
    <cellStyle name="Calculation 7 2 4 2" xfId="3057" xr:uid="{00000000-0005-0000-0000-000017090000}"/>
    <cellStyle name="Calculation 7 2 4 2 2" xfId="6634" xr:uid="{00000000-0005-0000-0000-000018090000}"/>
    <cellStyle name="Calculation 7 2 4 2 3" xfId="8622" xr:uid="{00000000-0005-0000-0000-000019090000}"/>
    <cellStyle name="Calculation 7 2 4 2 4" xfId="9938" xr:uid="{00000000-0005-0000-0000-00001A090000}"/>
    <cellStyle name="Calculation 7 2 4 3" xfId="5171" xr:uid="{00000000-0005-0000-0000-00001B090000}"/>
    <cellStyle name="Calculation 7 2 4 4" xfId="8610" xr:uid="{00000000-0005-0000-0000-00001C090000}"/>
    <cellStyle name="Calculation 7 2 4 5" xfId="11020" xr:uid="{00000000-0005-0000-0000-00001D090000}"/>
    <cellStyle name="Calculation 7 2 5" xfId="1308" xr:uid="{00000000-0005-0000-0000-00001E090000}"/>
    <cellStyle name="Calculation 7 2 5 2" xfId="2808" xr:uid="{00000000-0005-0000-0000-00001F090000}"/>
    <cellStyle name="Calculation 7 2 5 2 2" xfId="6387" xr:uid="{00000000-0005-0000-0000-000020090000}"/>
    <cellStyle name="Calculation 7 2 5 2 3" xfId="8390" xr:uid="{00000000-0005-0000-0000-000021090000}"/>
    <cellStyle name="Calculation 7 2 5 2 4" xfId="9713" xr:uid="{00000000-0005-0000-0000-000022090000}"/>
    <cellStyle name="Calculation 7 2 5 3" xfId="4906" xr:uid="{00000000-0005-0000-0000-000023090000}"/>
    <cellStyle name="Calculation 7 2 5 4" xfId="8111" xr:uid="{00000000-0005-0000-0000-000024090000}"/>
    <cellStyle name="Calculation 7 2 5 5" xfId="4116" xr:uid="{00000000-0005-0000-0000-000025090000}"/>
    <cellStyle name="Calculation 7 2 6" xfId="1491" xr:uid="{00000000-0005-0000-0000-000026090000}"/>
    <cellStyle name="Calculation 7 2 6 2" xfId="2976" xr:uid="{00000000-0005-0000-0000-000027090000}"/>
    <cellStyle name="Calculation 7 2 6 2 2" xfId="6553" xr:uid="{00000000-0005-0000-0000-000028090000}"/>
    <cellStyle name="Calculation 7 2 6 2 3" xfId="8554" xr:uid="{00000000-0005-0000-0000-000029090000}"/>
    <cellStyle name="Calculation 7 2 6 2 4" xfId="9877" xr:uid="{00000000-0005-0000-0000-00002A090000}"/>
    <cellStyle name="Calculation 7 2 6 3" xfId="5088" xr:uid="{00000000-0005-0000-0000-00002B090000}"/>
    <cellStyle name="Calculation 7 2 6 4" xfId="8533" xr:uid="{00000000-0005-0000-0000-00002C090000}"/>
    <cellStyle name="Calculation 7 2 6 5" xfId="10958" xr:uid="{00000000-0005-0000-0000-00002D090000}"/>
    <cellStyle name="Calculation 7 2 7" xfId="1963" xr:uid="{00000000-0005-0000-0000-00002E090000}"/>
    <cellStyle name="Calculation 7 2 7 2" xfId="3426" xr:uid="{00000000-0005-0000-0000-00002F090000}"/>
    <cellStyle name="Calculation 7 2 7 2 2" xfId="6996" xr:uid="{00000000-0005-0000-0000-000030090000}"/>
    <cellStyle name="Calculation 7 2 7 2 3" xfId="8962" xr:uid="{00000000-0005-0000-0000-000031090000}"/>
    <cellStyle name="Calculation 7 2 7 2 4" xfId="10253" xr:uid="{00000000-0005-0000-0000-000032090000}"/>
    <cellStyle name="Calculation 7 2 7 3" xfId="5551" xr:uid="{00000000-0005-0000-0000-000033090000}"/>
    <cellStyle name="Calculation 7 2 7 4" xfId="4086" xr:uid="{00000000-0005-0000-0000-000034090000}"/>
    <cellStyle name="Calculation 7 2 7 5" xfId="11331" xr:uid="{00000000-0005-0000-0000-000035090000}"/>
    <cellStyle name="Calculation 7 2 8" xfId="2261" xr:uid="{00000000-0005-0000-0000-000036090000}"/>
    <cellStyle name="Calculation 7 2 8 2" xfId="3718" xr:uid="{00000000-0005-0000-0000-000037090000}"/>
    <cellStyle name="Calculation 7 2 8 2 2" xfId="7288" xr:uid="{00000000-0005-0000-0000-000038090000}"/>
    <cellStyle name="Calculation 7 2 8 2 3" xfId="9253" xr:uid="{00000000-0005-0000-0000-000039090000}"/>
    <cellStyle name="Calculation 7 2 8 2 4" xfId="10545" xr:uid="{00000000-0005-0000-0000-00003A090000}"/>
    <cellStyle name="Calculation 7 2 8 3" xfId="5849" xr:uid="{00000000-0005-0000-0000-00003B090000}"/>
    <cellStyle name="Calculation 7 2 8 4" xfId="4734" xr:uid="{00000000-0005-0000-0000-00003C090000}"/>
    <cellStyle name="Calculation 7 2 8 5" xfId="11627" xr:uid="{00000000-0005-0000-0000-00003D090000}"/>
    <cellStyle name="Calculation 7 2 9" xfId="2353" xr:uid="{00000000-0005-0000-0000-00003E090000}"/>
    <cellStyle name="Calculation 7 2 9 2" xfId="3809" xr:uid="{00000000-0005-0000-0000-00003F090000}"/>
    <cellStyle name="Calculation 7 2 9 2 2" xfId="7379" xr:uid="{00000000-0005-0000-0000-000040090000}"/>
    <cellStyle name="Calculation 7 2 9 2 3" xfId="9342" xr:uid="{00000000-0005-0000-0000-000041090000}"/>
    <cellStyle name="Calculation 7 2 9 2 4" xfId="10636" xr:uid="{00000000-0005-0000-0000-000042090000}"/>
    <cellStyle name="Calculation 7 2 9 3" xfId="5941" xr:uid="{00000000-0005-0000-0000-000043090000}"/>
    <cellStyle name="Calculation 7 2 9 4" xfId="5167" xr:uid="{00000000-0005-0000-0000-000044090000}"/>
    <cellStyle name="Calculation 7 2 9 5" xfId="11718" xr:uid="{00000000-0005-0000-0000-000045090000}"/>
    <cellStyle name="Calculation 7 3" xfId="1433" xr:uid="{00000000-0005-0000-0000-000046090000}"/>
    <cellStyle name="Calculation 7 3 2" xfId="2920" xr:uid="{00000000-0005-0000-0000-000047090000}"/>
    <cellStyle name="Calculation 7 3 2 2" xfId="6498" xr:uid="{00000000-0005-0000-0000-000048090000}"/>
    <cellStyle name="Calculation 7 3 2 3" xfId="8500" xr:uid="{00000000-0005-0000-0000-000049090000}"/>
    <cellStyle name="Calculation 7 3 2 4" xfId="9823" xr:uid="{00000000-0005-0000-0000-00004A090000}"/>
    <cellStyle name="Calculation 7 3 3" xfId="5031" xr:uid="{00000000-0005-0000-0000-00004B090000}"/>
    <cellStyle name="Calculation 7 3 4" xfId="4736" xr:uid="{00000000-0005-0000-0000-00004C090000}"/>
    <cellStyle name="Calculation 7 3 5" xfId="10905" xr:uid="{00000000-0005-0000-0000-00004D090000}"/>
    <cellStyle name="Calculation 7 4" xfId="1965" xr:uid="{00000000-0005-0000-0000-00004E090000}"/>
    <cellStyle name="Calculation 7 4 2" xfId="3428" xr:uid="{00000000-0005-0000-0000-00004F090000}"/>
    <cellStyle name="Calculation 7 4 2 2" xfId="6998" xr:uid="{00000000-0005-0000-0000-000050090000}"/>
    <cellStyle name="Calculation 7 4 2 3" xfId="8964" xr:uid="{00000000-0005-0000-0000-000051090000}"/>
    <cellStyle name="Calculation 7 4 2 4" xfId="10255" xr:uid="{00000000-0005-0000-0000-000052090000}"/>
    <cellStyle name="Calculation 7 4 3" xfId="5553" xr:uid="{00000000-0005-0000-0000-000053090000}"/>
    <cellStyle name="Calculation 7 4 4" xfId="7888" xr:uid="{00000000-0005-0000-0000-000054090000}"/>
    <cellStyle name="Calculation 7 4 5" xfId="11333" xr:uid="{00000000-0005-0000-0000-000055090000}"/>
    <cellStyle name="Calculation 7 5" xfId="1496" xr:uid="{00000000-0005-0000-0000-000056090000}"/>
    <cellStyle name="Calculation 7 5 2" xfId="2981" xr:uid="{00000000-0005-0000-0000-000057090000}"/>
    <cellStyle name="Calculation 7 5 2 2" xfId="6558" xr:uid="{00000000-0005-0000-0000-000058090000}"/>
    <cellStyle name="Calculation 7 5 2 3" xfId="8559" xr:uid="{00000000-0005-0000-0000-000059090000}"/>
    <cellStyle name="Calculation 7 5 2 4" xfId="9882" xr:uid="{00000000-0005-0000-0000-00005A090000}"/>
    <cellStyle name="Calculation 7 5 3" xfId="5093" xr:uid="{00000000-0005-0000-0000-00005B090000}"/>
    <cellStyle name="Calculation 7 5 4" xfId="8037" xr:uid="{00000000-0005-0000-0000-00005C090000}"/>
    <cellStyle name="Calculation 7 5 5" xfId="10963" xr:uid="{00000000-0005-0000-0000-00005D090000}"/>
    <cellStyle name="Calculation 7 6" xfId="2570" xr:uid="{00000000-0005-0000-0000-00005E090000}"/>
    <cellStyle name="Calculation 7 6 2" xfId="6158" xr:uid="{00000000-0005-0000-0000-00005F090000}"/>
    <cellStyle name="Calculation 7 6 3" xfId="8184" xr:uid="{00000000-0005-0000-0000-000060090000}"/>
    <cellStyle name="Calculation 7 6 4" xfId="9537" xr:uid="{00000000-0005-0000-0000-000061090000}"/>
    <cellStyle name="Calculation 7 7" xfId="4313" xr:uid="{00000000-0005-0000-0000-000062090000}"/>
    <cellStyle name="Calculation 7 8" xfId="4447" xr:uid="{00000000-0005-0000-0000-000063090000}"/>
    <cellStyle name="Calculation 7 9" xfId="7969" xr:uid="{00000000-0005-0000-0000-000064090000}"/>
    <cellStyle name="Calculation 8" xfId="658" xr:uid="{00000000-0005-0000-0000-000065090000}"/>
    <cellStyle name="Calculation 8 2" xfId="1154" xr:uid="{00000000-0005-0000-0000-000066090000}"/>
    <cellStyle name="Calculation 8 2 10" xfId="1454" xr:uid="{00000000-0005-0000-0000-000067090000}"/>
    <cellStyle name="Calculation 8 2 10 2" xfId="2940" xr:uid="{00000000-0005-0000-0000-000068090000}"/>
    <cellStyle name="Calculation 8 2 10 2 2" xfId="6517" xr:uid="{00000000-0005-0000-0000-000069090000}"/>
    <cellStyle name="Calculation 8 2 10 2 3" xfId="8520" xr:uid="{00000000-0005-0000-0000-00006A090000}"/>
    <cellStyle name="Calculation 8 2 10 2 4" xfId="9841" xr:uid="{00000000-0005-0000-0000-00006B090000}"/>
    <cellStyle name="Calculation 8 2 10 3" xfId="5051" xr:uid="{00000000-0005-0000-0000-00006C090000}"/>
    <cellStyle name="Calculation 8 2 10 4" xfId="7732" xr:uid="{00000000-0005-0000-0000-00006D090000}"/>
    <cellStyle name="Calculation 8 2 10 5" xfId="10922" xr:uid="{00000000-0005-0000-0000-00006E090000}"/>
    <cellStyle name="Calculation 8 2 11" xfId="1964" xr:uid="{00000000-0005-0000-0000-00006F090000}"/>
    <cellStyle name="Calculation 8 2 11 2" xfId="3427" xr:uid="{00000000-0005-0000-0000-000070090000}"/>
    <cellStyle name="Calculation 8 2 11 2 2" xfId="6997" xr:uid="{00000000-0005-0000-0000-000071090000}"/>
    <cellStyle name="Calculation 8 2 11 2 3" xfId="8963" xr:uid="{00000000-0005-0000-0000-000072090000}"/>
    <cellStyle name="Calculation 8 2 11 2 4" xfId="10254" xr:uid="{00000000-0005-0000-0000-000073090000}"/>
    <cellStyle name="Calculation 8 2 11 3" xfId="5552" xr:uid="{00000000-0005-0000-0000-000074090000}"/>
    <cellStyle name="Calculation 8 2 11 4" xfId="4098" xr:uid="{00000000-0005-0000-0000-000075090000}"/>
    <cellStyle name="Calculation 8 2 11 5" xfId="11332" xr:uid="{00000000-0005-0000-0000-000076090000}"/>
    <cellStyle name="Calculation 8 2 12" xfId="2680" xr:uid="{00000000-0005-0000-0000-000077090000}"/>
    <cellStyle name="Calculation 8 2 12 2" xfId="6264" xr:uid="{00000000-0005-0000-0000-000078090000}"/>
    <cellStyle name="Calculation 8 2 12 3" xfId="8277" xr:uid="{00000000-0005-0000-0000-000079090000}"/>
    <cellStyle name="Calculation 8 2 12 4" xfId="9617" xr:uid="{00000000-0005-0000-0000-00007A090000}"/>
    <cellStyle name="Calculation 8 2 13" xfId="4753" xr:uid="{00000000-0005-0000-0000-00007B090000}"/>
    <cellStyle name="Calculation 8 2 14" xfId="4200" xr:uid="{00000000-0005-0000-0000-00007C090000}"/>
    <cellStyle name="Calculation 8 2 15" xfId="7592" xr:uid="{00000000-0005-0000-0000-00007D090000}"/>
    <cellStyle name="Calculation 8 2 2" xfId="1707" xr:uid="{00000000-0005-0000-0000-00007E090000}"/>
    <cellStyle name="Calculation 8 2 2 2" xfId="3185" xr:uid="{00000000-0005-0000-0000-00007F090000}"/>
    <cellStyle name="Calculation 8 2 2 2 2" xfId="6759" xr:uid="{00000000-0005-0000-0000-000080090000}"/>
    <cellStyle name="Calculation 8 2 2 2 3" xfId="8736" xr:uid="{00000000-0005-0000-0000-000081090000}"/>
    <cellStyle name="Calculation 8 2 2 2 4" xfId="10040" xr:uid="{00000000-0005-0000-0000-000082090000}"/>
    <cellStyle name="Calculation 8 2 2 3" xfId="5299" xr:uid="{00000000-0005-0000-0000-000083090000}"/>
    <cellStyle name="Calculation 8 2 2 4" xfId="4714" xr:uid="{00000000-0005-0000-0000-000084090000}"/>
    <cellStyle name="Calculation 8 2 2 5" xfId="11117" xr:uid="{00000000-0005-0000-0000-000085090000}"/>
    <cellStyle name="Calculation 8 2 3" xfId="1874" xr:uid="{00000000-0005-0000-0000-000086090000}"/>
    <cellStyle name="Calculation 8 2 3 2" xfId="3345" xr:uid="{00000000-0005-0000-0000-000087090000}"/>
    <cellStyle name="Calculation 8 2 3 2 2" xfId="6915" xr:uid="{00000000-0005-0000-0000-000088090000}"/>
    <cellStyle name="Calculation 8 2 3 2 3" xfId="8883" xr:uid="{00000000-0005-0000-0000-000089090000}"/>
    <cellStyle name="Calculation 8 2 3 2 4" xfId="10173" xr:uid="{00000000-0005-0000-0000-00008A090000}"/>
    <cellStyle name="Calculation 8 2 3 3" xfId="5462" xr:uid="{00000000-0005-0000-0000-00008B090000}"/>
    <cellStyle name="Calculation 8 2 3 4" xfId="4444" xr:uid="{00000000-0005-0000-0000-00008C090000}"/>
    <cellStyle name="Calculation 8 2 3 5" xfId="11251" xr:uid="{00000000-0005-0000-0000-00008D090000}"/>
    <cellStyle name="Calculation 8 2 4" xfId="1300" xr:uid="{00000000-0005-0000-0000-00008E090000}"/>
    <cellStyle name="Calculation 8 2 4 2" xfId="2800" xr:uid="{00000000-0005-0000-0000-00008F090000}"/>
    <cellStyle name="Calculation 8 2 4 2 2" xfId="6379" xr:uid="{00000000-0005-0000-0000-000090090000}"/>
    <cellStyle name="Calculation 8 2 4 2 3" xfId="8384" xr:uid="{00000000-0005-0000-0000-000091090000}"/>
    <cellStyle name="Calculation 8 2 4 2 4" xfId="9708" xr:uid="{00000000-0005-0000-0000-000092090000}"/>
    <cellStyle name="Calculation 8 2 4 3" xfId="4898" xr:uid="{00000000-0005-0000-0000-000093090000}"/>
    <cellStyle name="Calculation 8 2 4 4" xfId="8045" xr:uid="{00000000-0005-0000-0000-000094090000}"/>
    <cellStyle name="Calculation 8 2 4 5" xfId="4246" xr:uid="{00000000-0005-0000-0000-000095090000}"/>
    <cellStyle name="Calculation 8 2 5" xfId="1307" xr:uid="{00000000-0005-0000-0000-000096090000}"/>
    <cellStyle name="Calculation 8 2 5 2" xfId="2807" xr:uid="{00000000-0005-0000-0000-000097090000}"/>
    <cellStyle name="Calculation 8 2 5 2 2" xfId="6386" xr:uid="{00000000-0005-0000-0000-000098090000}"/>
    <cellStyle name="Calculation 8 2 5 2 3" xfId="8389" xr:uid="{00000000-0005-0000-0000-000099090000}"/>
    <cellStyle name="Calculation 8 2 5 2 4" xfId="9712" xr:uid="{00000000-0005-0000-0000-00009A090000}"/>
    <cellStyle name="Calculation 8 2 5 3" xfId="4905" xr:uid="{00000000-0005-0000-0000-00009B090000}"/>
    <cellStyle name="Calculation 8 2 5 4" xfId="8138" xr:uid="{00000000-0005-0000-0000-00009C090000}"/>
    <cellStyle name="Calculation 8 2 5 5" xfId="4243" xr:uid="{00000000-0005-0000-0000-00009D090000}"/>
    <cellStyle name="Calculation 8 2 6" xfId="1821" xr:uid="{00000000-0005-0000-0000-00009E090000}"/>
    <cellStyle name="Calculation 8 2 6 2" xfId="3298" xr:uid="{00000000-0005-0000-0000-00009F090000}"/>
    <cellStyle name="Calculation 8 2 6 2 2" xfId="6868" xr:uid="{00000000-0005-0000-0000-0000A0090000}"/>
    <cellStyle name="Calculation 8 2 6 2 3" xfId="8836" xr:uid="{00000000-0005-0000-0000-0000A1090000}"/>
    <cellStyle name="Calculation 8 2 6 2 4" xfId="10129" xr:uid="{00000000-0005-0000-0000-0000A2090000}"/>
    <cellStyle name="Calculation 8 2 6 3" xfId="5410" xr:uid="{00000000-0005-0000-0000-0000A3090000}"/>
    <cellStyle name="Calculation 8 2 6 4" xfId="4195" xr:uid="{00000000-0005-0000-0000-0000A4090000}"/>
    <cellStyle name="Calculation 8 2 6 5" xfId="11206" xr:uid="{00000000-0005-0000-0000-0000A5090000}"/>
    <cellStyle name="Calculation 8 2 7" xfId="1845" xr:uid="{00000000-0005-0000-0000-0000A6090000}"/>
    <cellStyle name="Calculation 8 2 7 2" xfId="3318" xr:uid="{00000000-0005-0000-0000-0000A7090000}"/>
    <cellStyle name="Calculation 8 2 7 2 2" xfId="6888" xr:uid="{00000000-0005-0000-0000-0000A8090000}"/>
    <cellStyle name="Calculation 8 2 7 2 3" xfId="8856" xr:uid="{00000000-0005-0000-0000-0000A9090000}"/>
    <cellStyle name="Calculation 8 2 7 2 4" xfId="10148" xr:uid="{00000000-0005-0000-0000-0000AA090000}"/>
    <cellStyle name="Calculation 8 2 7 3" xfId="5434" xr:uid="{00000000-0005-0000-0000-0000AB090000}"/>
    <cellStyle name="Calculation 8 2 7 4" xfId="7841" xr:uid="{00000000-0005-0000-0000-0000AC090000}"/>
    <cellStyle name="Calculation 8 2 7 5" xfId="11225" xr:uid="{00000000-0005-0000-0000-0000AD090000}"/>
    <cellStyle name="Calculation 8 2 8" xfId="2262" xr:uid="{00000000-0005-0000-0000-0000AE090000}"/>
    <cellStyle name="Calculation 8 2 8 2" xfId="3719" xr:uid="{00000000-0005-0000-0000-0000AF090000}"/>
    <cellStyle name="Calculation 8 2 8 2 2" xfId="7289" xr:uid="{00000000-0005-0000-0000-0000B0090000}"/>
    <cellStyle name="Calculation 8 2 8 2 3" xfId="9254" xr:uid="{00000000-0005-0000-0000-0000B1090000}"/>
    <cellStyle name="Calculation 8 2 8 2 4" xfId="10546" xr:uid="{00000000-0005-0000-0000-0000B2090000}"/>
    <cellStyle name="Calculation 8 2 8 3" xfId="5850" xr:uid="{00000000-0005-0000-0000-0000B3090000}"/>
    <cellStyle name="Calculation 8 2 8 4" xfId="5279" xr:uid="{00000000-0005-0000-0000-0000B4090000}"/>
    <cellStyle name="Calculation 8 2 8 5" xfId="11628" xr:uid="{00000000-0005-0000-0000-0000B5090000}"/>
    <cellStyle name="Calculation 8 2 9" xfId="2354" xr:uid="{00000000-0005-0000-0000-0000B6090000}"/>
    <cellStyle name="Calculation 8 2 9 2" xfId="3810" xr:uid="{00000000-0005-0000-0000-0000B7090000}"/>
    <cellStyle name="Calculation 8 2 9 2 2" xfId="7380" xr:uid="{00000000-0005-0000-0000-0000B8090000}"/>
    <cellStyle name="Calculation 8 2 9 2 3" xfId="9343" xr:uid="{00000000-0005-0000-0000-0000B9090000}"/>
    <cellStyle name="Calculation 8 2 9 2 4" xfId="10637" xr:uid="{00000000-0005-0000-0000-0000BA090000}"/>
    <cellStyle name="Calculation 8 2 9 3" xfId="5942" xr:uid="{00000000-0005-0000-0000-0000BB090000}"/>
    <cellStyle name="Calculation 8 2 9 4" xfId="4687" xr:uid="{00000000-0005-0000-0000-0000BC090000}"/>
    <cellStyle name="Calculation 8 2 9 5" xfId="11719" xr:uid="{00000000-0005-0000-0000-0000BD090000}"/>
    <cellStyle name="Calculation 8 3" xfId="1434" xr:uid="{00000000-0005-0000-0000-0000BE090000}"/>
    <cellStyle name="Calculation 8 3 2" xfId="2921" xr:uid="{00000000-0005-0000-0000-0000BF090000}"/>
    <cellStyle name="Calculation 8 3 2 2" xfId="6499" xr:uid="{00000000-0005-0000-0000-0000C0090000}"/>
    <cellStyle name="Calculation 8 3 2 3" xfId="8501" xr:uid="{00000000-0005-0000-0000-0000C1090000}"/>
    <cellStyle name="Calculation 8 3 2 4" xfId="9824" xr:uid="{00000000-0005-0000-0000-0000C2090000}"/>
    <cellStyle name="Calculation 8 3 3" xfId="5032" xr:uid="{00000000-0005-0000-0000-0000C3090000}"/>
    <cellStyle name="Calculation 8 3 4" xfId="4354" xr:uid="{00000000-0005-0000-0000-0000C4090000}"/>
    <cellStyle name="Calculation 8 3 5" xfId="10906" xr:uid="{00000000-0005-0000-0000-0000C5090000}"/>
    <cellStyle name="Calculation 8 4" xfId="2098" xr:uid="{00000000-0005-0000-0000-0000C6090000}"/>
    <cellStyle name="Calculation 8 4 2" xfId="3557" xr:uid="{00000000-0005-0000-0000-0000C7090000}"/>
    <cellStyle name="Calculation 8 4 2 2" xfId="7127" xr:uid="{00000000-0005-0000-0000-0000C8090000}"/>
    <cellStyle name="Calculation 8 4 2 3" xfId="9092" xr:uid="{00000000-0005-0000-0000-0000C9090000}"/>
    <cellStyle name="Calculation 8 4 2 4" xfId="10384" xr:uid="{00000000-0005-0000-0000-0000CA090000}"/>
    <cellStyle name="Calculation 8 4 3" xfId="5686" xr:uid="{00000000-0005-0000-0000-0000CB090000}"/>
    <cellStyle name="Calculation 8 4 4" xfId="7860" xr:uid="{00000000-0005-0000-0000-0000CC090000}"/>
    <cellStyle name="Calculation 8 4 5" xfId="11464" xr:uid="{00000000-0005-0000-0000-0000CD090000}"/>
    <cellStyle name="Calculation 8 5" xfId="1459" xr:uid="{00000000-0005-0000-0000-0000CE090000}"/>
    <cellStyle name="Calculation 8 5 2" xfId="2944" xr:uid="{00000000-0005-0000-0000-0000CF090000}"/>
    <cellStyle name="Calculation 8 5 2 2" xfId="6521" xr:uid="{00000000-0005-0000-0000-0000D0090000}"/>
    <cellStyle name="Calculation 8 5 2 3" xfId="8524" xr:uid="{00000000-0005-0000-0000-0000D1090000}"/>
    <cellStyle name="Calculation 8 5 2 4" xfId="9845" xr:uid="{00000000-0005-0000-0000-0000D2090000}"/>
    <cellStyle name="Calculation 8 5 3" xfId="5056" xr:uid="{00000000-0005-0000-0000-0000D3090000}"/>
    <cellStyle name="Calculation 8 5 4" xfId="8289" xr:uid="{00000000-0005-0000-0000-0000D4090000}"/>
    <cellStyle name="Calculation 8 5 5" xfId="10926" xr:uid="{00000000-0005-0000-0000-0000D5090000}"/>
    <cellStyle name="Calculation 8 6" xfId="2571" xr:uid="{00000000-0005-0000-0000-0000D6090000}"/>
    <cellStyle name="Calculation 8 6 2" xfId="6159" xr:uid="{00000000-0005-0000-0000-0000D7090000}"/>
    <cellStyle name="Calculation 8 6 3" xfId="8185" xr:uid="{00000000-0005-0000-0000-0000D8090000}"/>
    <cellStyle name="Calculation 8 6 4" xfId="9538" xr:uid="{00000000-0005-0000-0000-0000D9090000}"/>
    <cellStyle name="Calculation 8 7" xfId="4314" xr:uid="{00000000-0005-0000-0000-0000DA090000}"/>
    <cellStyle name="Calculation 8 8" xfId="5159" xr:uid="{00000000-0005-0000-0000-0000DB090000}"/>
    <cellStyle name="Calculation 8 9" xfId="7948" xr:uid="{00000000-0005-0000-0000-0000DC090000}"/>
    <cellStyle name="Calculation 9" xfId="659" xr:uid="{00000000-0005-0000-0000-0000DD090000}"/>
    <cellStyle name="Calculation 9 2" xfId="1155" xr:uid="{00000000-0005-0000-0000-0000DE090000}"/>
    <cellStyle name="Calculation 9 2 10" xfId="1647" xr:uid="{00000000-0005-0000-0000-0000DF090000}"/>
    <cellStyle name="Calculation 9 2 10 2" xfId="3125" xr:uid="{00000000-0005-0000-0000-0000E0090000}"/>
    <cellStyle name="Calculation 9 2 10 2 2" xfId="6701" xr:uid="{00000000-0005-0000-0000-0000E1090000}"/>
    <cellStyle name="Calculation 9 2 10 2 3" xfId="8688" xr:uid="{00000000-0005-0000-0000-0000E2090000}"/>
    <cellStyle name="Calculation 9 2 10 2 4" xfId="10001" xr:uid="{00000000-0005-0000-0000-0000E3090000}"/>
    <cellStyle name="Calculation 9 2 10 3" xfId="5241" xr:uid="{00000000-0005-0000-0000-0000E4090000}"/>
    <cellStyle name="Calculation 9 2 10 4" xfId="8413" xr:uid="{00000000-0005-0000-0000-0000E5090000}"/>
    <cellStyle name="Calculation 9 2 10 5" xfId="11079" xr:uid="{00000000-0005-0000-0000-0000E6090000}"/>
    <cellStyle name="Calculation 9 2 11" xfId="2198" xr:uid="{00000000-0005-0000-0000-0000E7090000}"/>
    <cellStyle name="Calculation 9 2 11 2" xfId="3657" xr:uid="{00000000-0005-0000-0000-0000E8090000}"/>
    <cellStyle name="Calculation 9 2 11 2 2" xfId="7227" xr:uid="{00000000-0005-0000-0000-0000E9090000}"/>
    <cellStyle name="Calculation 9 2 11 2 3" xfId="9192" xr:uid="{00000000-0005-0000-0000-0000EA090000}"/>
    <cellStyle name="Calculation 9 2 11 2 4" xfId="10484" xr:uid="{00000000-0005-0000-0000-0000EB090000}"/>
    <cellStyle name="Calculation 9 2 11 3" xfId="5786" xr:uid="{00000000-0005-0000-0000-0000EC090000}"/>
    <cellStyle name="Calculation 9 2 11 4" xfId="4513" xr:uid="{00000000-0005-0000-0000-0000ED090000}"/>
    <cellStyle name="Calculation 9 2 11 5" xfId="11564" xr:uid="{00000000-0005-0000-0000-0000EE090000}"/>
    <cellStyle name="Calculation 9 2 12" xfId="2681" xr:uid="{00000000-0005-0000-0000-0000EF090000}"/>
    <cellStyle name="Calculation 9 2 12 2" xfId="6265" xr:uid="{00000000-0005-0000-0000-0000F0090000}"/>
    <cellStyle name="Calculation 9 2 12 3" xfId="8278" xr:uid="{00000000-0005-0000-0000-0000F1090000}"/>
    <cellStyle name="Calculation 9 2 12 4" xfId="9618" xr:uid="{00000000-0005-0000-0000-0000F2090000}"/>
    <cellStyle name="Calculation 9 2 13" xfId="4754" xr:uid="{00000000-0005-0000-0000-0000F3090000}"/>
    <cellStyle name="Calculation 9 2 14" xfId="4199" xr:uid="{00000000-0005-0000-0000-0000F4090000}"/>
    <cellStyle name="Calculation 9 2 15" xfId="7699" xr:uid="{00000000-0005-0000-0000-0000F5090000}"/>
    <cellStyle name="Calculation 9 2 2" xfId="1708" xr:uid="{00000000-0005-0000-0000-0000F6090000}"/>
    <cellStyle name="Calculation 9 2 2 2" xfId="3186" xr:uid="{00000000-0005-0000-0000-0000F7090000}"/>
    <cellStyle name="Calculation 9 2 2 2 2" xfId="6760" xr:uid="{00000000-0005-0000-0000-0000F8090000}"/>
    <cellStyle name="Calculation 9 2 2 2 3" xfId="8737" xr:uid="{00000000-0005-0000-0000-0000F9090000}"/>
    <cellStyle name="Calculation 9 2 2 2 4" xfId="10041" xr:uid="{00000000-0005-0000-0000-0000FA090000}"/>
    <cellStyle name="Calculation 9 2 2 3" xfId="5300" xr:uid="{00000000-0005-0000-0000-0000FB090000}"/>
    <cellStyle name="Calculation 9 2 2 4" xfId="4668" xr:uid="{00000000-0005-0000-0000-0000FC090000}"/>
    <cellStyle name="Calculation 9 2 2 5" xfId="11118" xr:uid="{00000000-0005-0000-0000-0000FD090000}"/>
    <cellStyle name="Calculation 9 2 3" xfId="1875" xr:uid="{00000000-0005-0000-0000-0000FE090000}"/>
    <cellStyle name="Calculation 9 2 3 2" xfId="3346" xr:uid="{00000000-0005-0000-0000-0000FF090000}"/>
    <cellStyle name="Calculation 9 2 3 2 2" xfId="6916" xr:uid="{00000000-0005-0000-0000-0000000A0000}"/>
    <cellStyle name="Calculation 9 2 3 2 3" xfId="8884" xr:uid="{00000000-0005-0000-0000-0000010A0000}"/>
    <cellStyle name="Calculation 9 2 3 2 4" xfId="10174" xr:uid="{00000000-0005-0000-0000-0000020A0000}"/>
    <cellStyle name="Calculation 9 2 3 3" xfId="5463" xr:uid="{00000000-0005-0000-0000-0000030A0000}"/>
    <cellStyle name="Calculation 9 2 3 4" xfId="5616" xr:uid="{00000000-0005-0000-0000-0000040A0000}"/>
    <cellStyle name="Calculation 9 2 3 5" xfId="11252" xr:uid="{00000000-0005-0000-0000-0000050A0000}"/>
    <cellStyle name="Calculation 9 2 4" xfId="1575" xr:uid="{00000000-0005-0000-0000-0000060A0000}"/>
    <cellStyle name="Calculation 9 2 4 2" xfId="3058" xr:uid="{00000000-0005-0000-0000-0000070A0000}"/>
    <cellStyle name="Calculation 9 2 4 2 2" xfId="6635" xr:uid="{00000000-0005-0000-0000-0000080A0000}"/>
    <cellStyle name="Calculation 9 2 4 2 3" xfId="8623" xr:uid="{00000000-0005-0000-0000-0000090A0000}"/>
    <cellStyle name="Calculation 9 2 4 2 4" xfId="9939" xr:uid="{00000000-0005-0000-0000-00000A0A0000}"/>
    <cellStyle name="Calculation 9 2 4 3" xfId="5172" xr:uid="{00000000-0005-0000-0000-00000B0A0000}"/>
    <cellStyle name="Calculation 9 2 4 4" xfId="7711" xr:uid="{00000000-0005-0000-0000-00000C0A0000}"/>
    <cellStyle name="Calculation 9 2 4 5" xfId="11021" xr:uid="{00000000-0005-0000-0000-00000D0A0000}"/>
    <cellStyle name="Calculation 9 2 5" xfId="1306" xr:uid="{00000000-0005-0000-0000-00000E0A0000}"/>
    <cellStyle name="Calculation 9 2 5 2" xfId="2806" xr:uid="{00000000-0005-0000-0000-00000F0A0000}"/>
    <cellStyle name="Calculation 9 2 5 2 2" xfId="6385" xr:uid="{00000000-0005-0000-0000-0000100A0000}"/>
    <cellStyle name="Calculation 9 2 5 2 3" xfId="8388" xr:uid="{00000000-0005-0000-0000-0000110A0000}"/>
    <cellStyle name="Calculation 9 2 5 2 4" xfId="9711" xr:uid="{00000000-0005-0000-0000-0000120A0000}"/>
    <cellStyle name="Calculation 9 2 5 3" xfId="4904" xr:uid="{00000000-0005-0000-0000-0000130A0000}"/>
    <cellStyle name="Calculation 9 2 5 4" xfId="7817" xr:uid="{00000000-0005-0000-0000-0000140A0000}"/>
    <cellStyle name="Calculation 9 2 5 5" xfId="4117" xr:uid="{00000000-0005-0000-0000-0000150A0000}"/>
    <cellStyle name="Calculation 9 2 6" xfId="1492" xr:uid="{00000000-0005-0000-0000-0000160A0000}"/>
    <cellStyle name="Calculation 9 2 6 2" xfId="2977" xr:uid="{00000000-0005-0000-0000-0000170A0000}"/>
    <cellStyle name="Calculation 9 2 6 2 2" xfId="6554" xr:uid="{00000000-0005-0000-0000-0000180A0000}"/>
    <cellStyle name="Calculation 9 2 6 2 3" xfId="8555" xr:uid="{00000000-0005-0000-0000-0000190A0000}"/>
    <cellStyle name="Calculation 9 2 6 2 4" xfId="9878" xr:uid="{00000000-0005-0000-0000-00001A0A0000}"/>
    <cellStyle name="Calculation 9 2 6 3" xfId="5089" xr:uid="{00000000-0005-0000-0000-00001B0A0000}"/>
    <cellStyle name="Calculation 9 2 6 4" xfId="7652" xr:uid="{00000000-0005-0000-0000-00001C0A0000}"/>
    <cellStyle name="Calculation 9 2 6 5" xfId="10959" xr:uid="{00000000-0005-0000-0000-00001D0A0000}"/>
    <cellStyle name="Calculation 9 2 7" xfId="1848" xr:uid="{00000000-0005-0000-0000-00001E0A0000}"/>
    <cellStyle name="Calculation 9 2 7 2" xfId="3320" xr:uid="{00000000-0005-0000-0000-00001F0A0000}"/>
    <cellStyle name="Calculation 9 2 7 2 2" xfId="6890" xr:uid="{00000000-0005-0000-0000-0000200A0000}"/>
    <cellStyle name="Calculation 9 2 7 2 3" xfId="8858" xr:uid="{00000000-0005-0000-0000-0000210A0000}"/>
    <cellStyle name="Calculation 9 2 7 2 4" xfId="10149" xr:uid="{00000000-0005-0000-0000-0000220A0000}"/>
    <cellStyle name="Calculation 9 2 7 3" xfId="5437" xr:uid="{00000000-0005-0000-0000-0000230A0000}"/>
    <cellStyle name="Calculation 9 2 7 4" xfId="8251" xr:uid="{00000000-0005-0000-0000-0000240A0000}"/>
    <cellStyle name="Calculation 9 2 7 5" xfId="11227" xr:uid="{00000000-0005-0000-0000-0000250A0000}"/>
    <cellStyle name="Calculation 9 2 8" xfId="2263" xr:uid="{00000000-0005-0000-0000-0000260A0000}"/>
    <cellStyle name="Calculation 9 2 8 2" xfId="3720" xr:uid="{00000000-0005-0000-0000-0000270A0000}"/>
    <cellStyle name="Calculation 9 2 8 2 2" xfId="7290" xr:uid="{00000000-0005-0000-0000-0000280A0000}"/>
    <cellStyle name="Calculation 9 2 8 2 3" xfId="9255" xr:uid="{00000000-0005-0000-0000-0000290A0000}"/>
    <cellStyle name="Calculation 9 2 8 2 4" xfId="10547" xr:uid="{00000000-0005-0000-0000-00002A0A0000}"/>
    <cellStyle name="Calculation 9 2 8 3" xfId="5851" xr:uid="{00000000-0005-0000-0000-00002B0A0000}"/>
    <cellStyle name="Calculation 9 2 8 4" xfId="6739" xr:uid="{00000000-0005-0000-0000-00002C0A0000}"/>
    <cellStyle name="Calculation 9 2 8 5" xfId="11629" xr:uid="{00000000-0005-0000-0000-00002D0A0000}"/>
    <cellStyle name="Calculation 9 2 9" xfId="2355" xr:uid="{00000000-0005-0000-0000-00002E0A0000}"/>
    <cellStyle name="Calculation 9 2 9 2" xfId="3811" xr:uid="{00000000-0005-0000-0000-00002F0A0000}"/>
    <cellStyle name="Calculation 9 2 9 2 2" xfId="7381" xr:uid="{00000000-0005-0000-0000-0000300A0000}"/>
    <cellStyle name="Calculation 9 2 9 2 3" xfId="9344" xr:uid="{00000000-0005-0000-0000-0000310A0000}"/>
    <cellStyle name="Calculation 9 2 9 2 4" xfId="10638" xr:uid="{00000000-0005-0000-0000-0000320A0000}"/>
    <cellStyle name="Calculation 9 2 9 3" xfId="5943" xr:uid="{00000000-0005-0000-0000-0000330A0000}"/>
    <cellStyle name="Calculation 9 2 9 4" xfId="6630" xr:uid="{00000000-0005-0000-0000-0000340A0000}"/>
    <cellStyle name="Calculation 9 2 9 5" xfId="11720" xr:uid="{00000000-0005-0000-0000-0000350A0000}"/>
    <cellStyle name="Calculation 9 3" xfId="1435" xr:uid="{00000000-0005-0000-0000-0000360A0000}"/>
    <cellStyle name="Calculation 9 3 2" xfId="2922" xr:uid="{00000000-0005-0000-0000-0000370A0000}"/>
    <cellStyle name="Calculation 9 3 2 2" xfId="6500" xr:uid="{00000000-0005-0000-0000-0000380A0000}"/>
    <cellStyle name="Calculation 9 3 2 3" xfId="8502" xr:uid="{00000000-0005-0000-0000-0000390A0000}"/>
    <cellStyle name="Calculation 9 3 2 4" xfId="9825" xr:uid="{00000000-0005-0000-0000-00003A0A0000}"/>
    <cellStyle name="Calculation 9 3 3" xfId="5033" xr:uid="{00000000-0005-0000-0000-00003B0A0000}"/>
    <cellStyle name="Calculation 9 3 4" xfId="4355" xr:uid="{00000000-0005-0000-0000-00003C0A0000}"/>
    <cellStyle name="Calculation 9 3 5" xfId="10907" xr:uid="{00000000-0005-0000-0000-00003D0A0000}"/>
    <cellStyle name="Calculation 9 4" xfId="1834" xr:uid="{00000000-0005-0000-0000-00003E0A0000}"/>
    <cellStyle name="Calculation 9 4 2" xfId="3311" xr:uid="{00000000-0005-0000-0000-00003F0A0000}"/>
    <cellStyle name="Calculation 9 4 2 2" xfId="6881" xr:uid="{00000000-0005-0000-0000-0000400A0000}"/>
    <cellStyle name="Calculation 9 4 2 3" xfId="8849" xr:uid="{00000000-0005-0000-0000-0000410A0000}"/>
    <cellStyle name="Calculation 9 4 2 4" xfId="10141" xr:uid="{00000000-0005-0000-0000-0000420A0000}"/>
    <cellStyle name="Calculation 9 4 3" xfId="5423" xr:uid="{00000000-0005-0000-0000-0000430A0000}"/>
    <cellStyle name="Calculation 9 4 4" xfId="4430" xr:uid="{00000000-0005-0000-0000-0000440A0000}"/>
    <cellStyle name="Calculation 9 4 5" xfId="11218" xr:uid="{00000000-0005-0000-0000-0000450A0000}"/>
    <cellStyle name="Calculation 9 5" xfId="2166" xr:uid="{00000000-0005-0000-0000-0000460A0000}"/>
    <cellStyle name="Calculation 9 5 2" xfId="3625" xr:uid="{00000000-0005-0000-0000-0000470A0000}"/>
    <cellStyle name="Calculation 9 5 2 2" xfId="7195" xr:uid="{00000000-0005-0000-0000-0000480A0000}"/>
    <cellStyle name="Calculation 9 5 2 3" xfId="9160" xr:uid="{00000000-0005-0000-0000-0000490A0000}"/>
    <cellStyle name="Calculation 9 5 2 4" xfId="10452" xr:uid="{00000000-0005-0000-0000-00004A0A0000}"/>
    <cellStyle name="Calculation 9 5 3" xfId="5754" xr:uid="{00000000-0005-0000-0000-00004B0A0000}"/>
    <cellStyle name="Calculation 9 5 4" xfId="6601" xr:uid="{00000000-0005-0000-0000-00004C0A0000}"/>
    <cellStyle name="Calculation 9 5 5" xfId="11532" xr:uid="{00000000-0005-0000-0000-00004D0A0000}"/>
    <cellStyle name="Calculation 9 6" xfId="2572" xr:uid="{00000000-0005-0000-0000-00004E0A0000}"/>
    <cellStyle name="Calculation 9 6 2" xfId="6160" xr:uid="{00000000-0005-0000-0000-00004F0A0000}"/>
    <cellStyle name="Calculation 9 6 3" xfId="8186" xr:uid="{00000000-0005-0000-0000-0000500A0000}"/>
    <cellStyle name="Calculation 9 6 4" xfId="9539" xr:uid="{00000000-0005-0000-0000-0000510A0000}"/>
    <cellStyle name="Calculation 9 7" xfId="4315" xr:uid="{00000000-0005-0000-0000-0000520A0000}"/>
    <cellStyle name="Calculation 9 8" xfId="4446" xr:uid="{00000000-0005-0000-0000-0000530A0000}"/>
    <cellStyle name="Calculation 9 9" xfId="7924" xr:uid="{00000000-0005-0000-0000-0000540A0000}"/>
    <cellStyle name="Check Cell" xfId="106" builtinId="23" customBuiltin="1"/>
    <cellStyle name="Check Cell 10" xfId="660" xr:uid="{00000000-0005-0000-0000-0000560A0000}"/>
    <cellStyle name="Check Cell 11" xfId="661" xr:uid="{00000000-0005-0000-0000-0000570A0000}"/>
    <cellStyle name="Check Cell 12" xfId="662" xr:uid="{00000000-0005-0000-0000-0000580A0000}"/>
    <cellStyle name="Check Cell 13" xfId="663" xr:uid="{00000000-0005-0000-0000-0000590A0000}"/>
    <cellStyle name="Check Cell 14" xfId="664" xr:uid="{00000000-0005-0000-0000-00005A0A0000}"/>
    <cellStyle name="Check Cell 15" xfId="665" xr:uid="{00000000-0005-0000-0000-00005B0A0000}"/>
    <cellStyle name="Check Cell 16" xfId="666" xr:uid="{00000000-0005-0000-0000-00005C0A0000}"/>
    <cellStyle name="Check Cell 17" xfId="667" xr:uid="{00000000-0005-0000-0000-00005D0A0000}"/>
    <cellStyle name="Check Cell 18" xfId="668" xr:uid="{00000000-0005-0000-0000-00005E0A0000}"/>
    <cellStyle name="Check Cell 19" xfId="669" xr:uid="{00000000-0005-0000-0000-00005F0A0000}"/>
    <cellStyle name="Check Cell 2" xfId="173" xr:uid="{00000000-0005-0000-0000-0000600A0000}"/>
    <cellStyle name="Check Cell 2 2" xfId="1123" xr:uid="{00000000-0005-0000-0000-0000610A0000}"/>
    <cellStyle name="Check Cell 3" xfId="670" xr:uid="{00000000-0005-0000-0000-0000620A0000}"/>
    <cellStyle name="Check Cell 4" xfId="671" xr:uid="{00000000-0005-0000-0000-0000630A0000}"/>
    <cellStyle name="Check Cell 5" xfId="672" xr:uid="{00000000-0005-0000-0000-0000640A0000}"/>
    <cellStyle name="Check Cell 6" xfId="673" xr:uid="{00000000-0005-0000-0000-0000650A0000}"/>
    <cellStyle name="Check Cell 7" xfId="674" xr:uid="{00000000-0005-0000-0000-0000660A0000}"/>
    <cellStyle name="Check Cell 8" xfId="675" xr:uid="{00000000-0005-0000-0000-0000670A0000}"/>
    <cellStyle name="Check Cell 9" xfId="676" xr:uid="{00000000-0005-0000-0000-0000680A0000}"/>
    <cellStyle name="Chris $" xfId="677" xr:uid="{00000000-0005-0000-0000-0000690A0000}"/>
    <cellStyle name="Chris $ 2" xfId="678" xr:uid="{00000000-0005-0000-0000-00006A0A0000}"/>
    <cellStyle name="Comma" xfId="1" builtinId="3" customBuiltin="1"/>
    <cellStyle name="Comma 10" xfId="1104" xr:uid="{00000000-0005-0000-0000-00006C0A0000}"/>
    <cellStyle name="Comma 10 2" xfId="1260" xr:uid="{00000000-0005-0000-0000-00006D0A0000}"/>
    <cellStyle name="Comma 10 2 2" xfId="1798" xr:uid="{00000000-0005-0000-0000-00006E0A0000}"/>
    <cellStyle name="Comma 10 2 2 2" xfId="3275" xr:uid="{00000000-0005-0000-0000-00006F0A0000}"/>
    <cellStyle name="Comma 10 2 3" xfId="2761" xr:uid="{00000000-0005-0000-0000-0000700A0000}"/>
    <cellStyle name="Comma 10 3" xfId="1661" xr:uid="{00000000-0005-0000-0000-0000710A0000}"/>
    <cellStyle name="Comma 10 3 2" xfId="3139" xr:uid="{00000000-0005-0000-0000-0000720A0000}"/>
    <cellStyle name="Comma 10 4" xfId="2642" xr:uid="{00000000-0005-0000-0000-0000730A0000}"/>
    <cellStyle name="Comma 11" xfId="1114" xr:uid="{00000000-0005-0000-0000-0000740A0000}"/>
    <cellStyle name="Comma 11 2" xfId="1268" xr:uid="{00000000-0005-0000-0000-0000750A0000}"/>
    <cellStyle name="Comma 11 2 2" xfId="1806" xr:uid="{00000000-0005-0000-0000-0000760A0000}"/>
    <cellStyle name="Comma 11 2 2 2" xfId="3283" xr:uid="{00000000-0005-0000-0000-0000770A0000}"/>
    <cellStyle name="Comma 11 2 3" xfId="2769" xr:uid="{00000000-0005-0000-0000-0000780A0000}"/>
    <cellStyle name="Comma 11 3" xfId="1671" xr:uid="{00000000-0005-0000-0000-0000790A0000}"/>
    <cellStyle name="Comma 11 3 2" xfId="3149" xr:uid="{00000000-0005-0000-0000-00007A0A0000}"/>
    <cellStyle name="Comma 11 4" xfId="2650" xr:uid="{00000000-0005-0000-0000-00007B0A0000}"/>
    <cellStyle name="Comma 12" xfId="4011" xr:uid="{00000000-0005-0000-0000-00007C0A0000}"/>
    <cellStyle name="Comma 13" xfId="1101" xr:uid="{00000000-0005-0000-0000-00007D0A0000}"/>
    <cellStyle name="Comma 2" xfId="27" xr:uid="{00000000-0005-0000-0000-00007E0A0000}"/>
    <cellStyle name="Comma 2 2" xfId="41" xr:uid="{00000000-0005-0000-0000-00007F0A0000}"/>
    <cellStyle name="Comma 2 2 2" xfId="216" xr:uid="{00000000-0005-0000-0000-0000800A0000}"/>
    <cellStyle name="Comma 3" xfId="2" xr:uid="{00000000-0005-0000-0000-0000810A0000}"/>
    <cellStyle name="Comma 3 2" xfId="38" xr:uid="{00000000-0005-0000-0000-0000820A0000}"/>
    <cellStyle name="Comma 3 2 2" xfId="72" xr:uid="{00000000-0005-0000-0000-0000830A0000}"/>
    <cellStyle name="Comma 4" xfId="32" xr:uid="{00000000-0005-0000-0000-0000840A0000}"/>
    <cellStyle name="Comma 4 2" xfId="679" xr:uid="{00000000-0005-0000-0000-0000850A0000}"/>
    <cellStyle name="Comma 5" xfId="196" xr:uid="{00000000-0005-0000-0000-0000860A0000}"/>
    <cellStyle name="Comma 6" xfId="197" xr:uid="{00000000-0005-0000-0000-0000870A0000}"/>
    <cellStyle name="Comma 6 2" xfId="1130" xr:uid="{00000000-0005-0000-0000-0000880A0000}"/>
    <cellStyle name="Comma 7" xfId="680" xr:uid="{00000000-0005-0000-0000-0000890A0000}"/>
    <cellStyle name="Comma 7 2" xfId="681" xr:uid="{00000000-0005-0000-0000-00008A0A0000}"/>
    <cellStyle name="Comma 7 2 2" xfId="1157" xr:uid="{00000000-0005-0000-0000-00008B0A0000}"/>
    <cellStyle name="Comma 7 3" xfId="1156" xr:uid="{00000000-0005-0000-0000-00008C0A0000}"/>
    <cellStyle name="Comma 8" xfId="682" xr:uid="{00000000-0005-0000-0000-00008D0A0000}"/>
    <cellStyle name="Comma 8 2" xfId="683" xr:uid="{00000000-0005-0000-0000-00008E0A0000}"/>
    <cellStyle name="Comma 8 2 2" xfId="1159" xr:uid="{00000000-0005-0000-0000-00008F0A0000}"/>
    <cellStyle name="Comma 8 3" xfId="1158" xr:uid="{00000000-0005-0000-0000-0000900A0000}"/>
    <cellStyle name="Comma 9" xfId="684" xr:uid="{00000000-0005-0000-0000-0000910A0000}"/>
    <cellStyle name="Comma 9 2" xfId="1160" xr:uid="{00000000-0005-0000-0000-0000920A0000}"/>
    <cellStyle name="Comma 9 2 2" xfId="1709" xr:uid="{00000000-0005-0000-0000-0000930A0000}"/>
    <cellStyle name="Comma 9 2 2 2" xfId="3187" xr:uid="{00000000-0005-0000-0000-0000940A0000}"/>
    <cellStyle name="Comma 9 2 3" xfId="2682" xr:uid="{00000000-0005-0000-0000-0000950A0000}"/>
    <cellStyle name="Comma 9 3" xfId="1447" xr:uid="{00000000-0005-0000-0000-0000960A0000}"/>
    <cellStyle name="Comma 9 3 2" xfId="2934" xr:uid="{00000000-0005-0000-0000-0000970A0000}"/>
    <cellStyle name="Comma 9 4" xfId="2573" xr:uid="{00000000-0005-0000-0000-0000980A0000}"/>
    <cellStyle name="Comma0" xfId="3" xr:uid="{00000000-0005-0000-0000-0000990A0000}"/>
    <cellStyle name="Comma0 10" xfId="685" xr:uid="{00000000-0005-0000-0000-00009A0A0000}"/>
    <cellStyle name="Comma0 2" xfId="42" xr:uid="{00000000-0005-0000-0000-00009B0A0000}"/>
    <cellStyle name="Comma0 2 2" xfId="687" xr:uid="{00000000-0005-0000-0000-00009C0A0000}"/>
    <cellStyle name="Comma0 3" xfId="33" xr:uid="{00000000-0005-0000-0000-00009D0A0000}"/>
    <cellStyle name="Comma0 4" xfId="688" xr:uid="{00000000-0005-0000-0000-00009E0A0000}"/>
    <cellStyle name="Comma0 5" xfId="689" xr:uid="{00000000-0005-0000-0000-00009F0A0000}"/>
    <cellStyle name="Comma0 6" xfId="690" xr:uid="{00000000-0005-0000-0000-0000A00A0000}"/>
    <cellStyle name="Comma0 7" xfId="691" xr:uid="{00000000-0005-0000-0000-0000A10A0000}"/>
    <cellStyle name="Comma0 8" xfId="692" xr:uid="{00000000-0005-0000-0000-0000A20A0000}"/>
    <cellStyle name="Comma0 9" xfId="693" xr:uid="{00000000-0005-0000-0000-0000A30A0000}"/>
    <cellStyle name="Currency" xfId="4" builtinId="4" customBuiltin="1"/>
    <cellStyle name="Currency 10" xfId="694" xr:uid="{00000000-0005-0000-0000-0000A50A0000}"/>
    <cellStyle name="Currency 11" xfId="695" xr:uid="{00000000-0005-0000-0000-0000A60A0000}"/>
    <cellStyle name="Currency 12" xfId="696" xr:uid="{00000000-0005-0000-0000-0000A70A0000}"/>
    <cellStyle name="Currency 13" xfId="697" xr:uid="{00000000-0005-0000-0000-0000A80A0000}"/>
    <cellStyle name="Currency 14" xfId="698" xr:uid="{00000000-0005-0000-0000-0000A90A0000}"/>
    <cellStyle name="Currency 15" xfId="699" xr:uid="{00000000-0005-0000-0000-0000AA0A0000}"/>
    <cellStyle name="Currency 16" xfId="700" xr:uid="{00000000-0005-0000-0000-0000AB0A0000}"/>
    <cellStyle name="Currency 17" xfId="701" xr:uid="{00000000-0005-0000-0000-0000AC0A0000}"/>
    <cellStyle name="Currency 18" xfId="702" xr:uid="{00000000-0005-0000-0000-0000AD0A0000}"/>
    <cellStyle name="Currency 19" xfId="703" xr:uid="{00000000-0005-0000-0000-0000AE0A0000}"/>
    <cellStyle name="Currency 2" xfId="22" xr:uid="{00000000-0005-0000-0000-0000AF0A0000}"/>
    <cellStyle name="Currency 2 2" xfId="43" xr:uid="{00000000-0005-0000-0000-0000B00A0000}"/>
    <cellStyle name="Currency 2 2 2" xfId="1138" xr:uid="{00000000-0005-0000-0000-0000B10A0000}"/>
    <cellStyle name="Currency 2 2 2 2" xfId="1691" xr:uid="{00000000-0005-0000-0000-0000B20A0000}"/>
    <cellStyle name="Currency 2 2 2 2 2" xfId="3169" xr:uid="{00000000-0005-0000-0000-0000B30A0000}"/>
    <cellStyle name="Currency 2 2 2 3" xfId="2664" xr:uid="{00000000-0005-0000-0000-0000B40A0000}"/>
    <cellStyle name="Currency 2 2 3" xfId="1305" xr:uid="{00000000-0005-0000-0000-0000B50A0000}"/>
    <cellStyle name="Currency 2 2 3 2" xfId="2805" xr:uid="{00000000-0005-0000-0000-0000B60A0000}"/>
    <cellStyle name="Currency 2 2 4" xfId="2555" xr:uid="{00000000-0005-0000-0000-0000B70A0000}"/>
    <cellStyle name="Currency 2 2 5" xfId="217" xr:uid="{00000000-0005-0000-0000-0000B80A0000}"/>
    <cellStyle name="Currency 2 3" xfId="704" xr:uid="{00000000-0005-0000-0000-0000B90A0000}"/>
    <cellStyle name="Currency 20" xfId="705" xr:uid="{00000000-0005-0000-0000-0000BA0A0000}"/>
    <cellStyle name="Currency 21" xfId="706" xr:uid="{00000000-0005-0000-0000-0000BB0A0000}"/>
    <cellStyle name="Currency 21 2" xfId="707" xr:uid="{00000000-0005-0000-0000-0000BC0A0000}"/>
    <cellStyle name="Currency 21 2 2" xfId="1162" xr:uid="{00000000-0005-0000-0000-0000BD0A0000}"/>
    <cellStyle name="Currency 21 3" xfId="1161" xr:uid="{00000000-0005-0000-0000-0000BE0A0000}"/>
    <cellStyle name="Currency 22" xfId="199" xr:uid="{00000000-0005-0000-0000-0000BF0A0000}"/>
    <cellStyle name="Currency 22 2" xfId="708" xr:uid="{00000000-0005-0000-0000-0000C00A0000}"/>
    <cellStyle name="Currency 22 2 2" xfId="1163" xr:uid="{00000000-0005-0000-0000-0000C10A0000}"/>
    <cellStyle name="Currency 22 3" xfId="1102" xr:uid="{00000000-0005-0000-0000-0000C20A0000}"/>
    <cellStyle name="Currency 23" xfId="709" xr:uid="{00000000-0005-0000-0000-0000C30A0000}"/>
    <cellStyle name="Currency 23 2" xfId="1164" xr:uid="{00000000-0005-0000-0000-0000C40A0000}"/>
    <cellStyle name="Currency 23 2 2" xfId="1711" xr:uid="{00000000-0005-0000-0000-0000C50A0000}"/>
    <cellStyle name="Currency 23 2 2 2" xfId="3188" xr:uid="{00000000-0005-0000-0000-0000C60A0000}"/>
    <cellStyle name="Currency 23 2 3" xfId="2683" xr:uid="{00000000-0005-0000-0000-0000C70A0000}"/>
    <cellStyle name="Currency 23 3" xfId="1448" xr:uid="{00000000-0005-0000-0000-0000C80A0000}"/>
    <cellStyle name="Currency 23 3 2" xfId="2935" xr:uid="{00000000-0005-0000-0000-0000C90A0000}"/>
    <cellStyle name="Currency 23 4" xfId="2574" xr:uid="{00000000-0005-0000-0000-0000CA0A0000}"/>
    <cellStyle name="Currency 24" xfId="1106" xr:uid="{00000000-0005-0000-0000-0000CB0A0000}"/>
    <cellStyle name="Currency 24 2" xfId="1262" xr:uid="{00000000-0005-0000-0000-0000CC0A0000}"/>
    <cellStyle name="Currency 24 2 2" xfId="1800" xr:uid="{00000000-0005-0000-0000-0000CD0A0000}"/>
    <cellStyle name="Currency 24 2 2 2" xfId="3277" xr:uid="{00000000-0005-0000-0000-0000CE0A0000}"/>
    <cellStyle name="Currency 24 2 3" xfId="2763" xr:uid="{00000000-0005-0000-0000-0000CF0A0000}"/>
    <cellStyle name="Currency 24 3" xfId="1663" xr:uid="{00000000-0005-0000-0000-0000D00A0000}"/>
    <cellStyle name="Currency 24 3 2" xfId="3141" xr:uid="{00000000-0005-0000-0000-0000D10A0000}"/>
    <cellStyle name="Currency 24 4" xfId="2644" xr:uid="{00000000-0005-0000-0000-0000D20A0000}"/>
    <cellStyle name="Currency 25" xfId="207" xr:uid="{00000000-0005-0000-0000-0000D30A0000}"/>
    <cellStyle name="Currency 3" xfId="39" xr:uid="{00000000-0005-0000-0000-0000D40A0000}"/>
    <cellStyle name="Currency 3 2" xfId="710" xr:uid="{00000000-0005-0000-0000-0000D50A0000}"/>
    <cellStyle name="Currency 3 3" xfId="1120" xr:uid="{00000000-0005-0000-0000-0000D60A0000}"/>
    <cellStyle name="Currency 3 4" xfId="175" xr:uid="{00000000-0005-0000-0000-0000D70A0000}"/>
    <cellStyle name="Currency 4" xfId="58" xr:uid="{00000000-0005-0000-0000-0000D80A0000}"/>
    <cellStyle name="Currency 4 2" xfId="711" xr:uid="{00000000-0005-0000-0000-0000D90A0000}"/>
    <cellStyle name="Currency 4 2 2" xfId="1165" xr:uid="{00000000-0005-0000-0000-0000DA0A0000}"/>
    <cellStyle name="Currency 4 3" xfId="1131" xr:uid="{00000000-0005-0000-0000-0000DB0A0000}"/>
    <cellStyle name="Currency 4 4" xfId="200" xr:uid="{00000000-0005-0000-0000-0000DC0A0000}"/>
    <cellStyle name="Currency 5" xfId="712" xr:uid="{00000000-0005-0000-0000-0000DD0A0000}"/>
    <cellStyle name="Currency 6" xfId="214" xr:uid="{00000000-0005-0000-0000-0000DE0A0000}"/>
    <cellStyle name="Currency 6 2" xfId="713" xr:uid="{00000000-0005-0000-0000-0000DF0A0000}"/>
    <cellStyle name="Currency 6 2 2" xfId="1166" xr:uid="{00000000-0005-0000-0000-0000E00A0000}"/>
    <cellStyle name="Currency 6 3" xfId="1137" xr:uid="{00000000-0005-0000-0000-0000E10A0000}"/>
    <cellStyle name="Currency 7" xfId="714" xr:uid="{00000000-0005-0000-0000-0000E20A0000}"/>
    <cellStyle name="Currency 7 2" xfId="715" xr:uid="{00000000-0005-0000-0000-0000E30A0000}"/>
    <cellStyle name="Currency 7 2 2" xfId="1168" xr:uid="{00000000-0005-0000-0000-0000E40A0000}"/>
    <cellStyle name="Currency 7 3" xfId="1167" xr:uid="{00000000-0005-0000-0000-0000E50A0000}"/>
    <cellStyle name="Currency 8" xfId="716" xr:uid="{00000000-0005-0000-0000-0000E60A0000}"/>
    <cellStyle name="Currency 9" xfId="717" xr:uid="{00000000-0005-0000-0000-0000E70A0000}"/>
    <cellStyle name="Currency0" xfId="5" xr:uid="{00000000-0005-0000-0000-0000E80A0000}"/>
    <cellStyle name="Currency0 10" xfId="718" xr:uid="{00000000-0005-0000-0000-0000E90A0000}"/>
    <cellStyle name="Currency0 2" xfId="44" xr:uid="{00000000-0005-0000-0000-0000EA0A0000}"/>
    <cellStyle name="Currency0 2 2" xfId="720" xr:uid="{00000000-0005-0000-0000-0000EB0A0000}"/>
    <cellStyle name="Currency0 3" xfId="34" xr:uid="{00000000-0005-0000-0000-0000EC0A0000}"/>
    <cellStyle name="Currency0 4" xfId="721" xr:uid="{00000000-0005-0000-0000-0000ED0A0000}"/>
    <cellStyle name="Currency0 5" xfId="722" xr:uid="{00000000-0005-0000-0000-0000EE0A0000}"/>
    <cellStyle name="Currency0 6" xfId="723" xr:uid="{00000000-0005-0000-0000-0000EF0A0000}"/>
    <cellStyle name="Currency0 7" xfId="724" xr:uid="{00000000-0005-0000-0000-0000F00A0000}"/>
    <cellStyle name="Currency0 8" xfId="725" xr:uid="{00000000-0005-0000-0000-0000F10A0000}"/>
    <cellStyle name="Currency0 9" xfId="726" xr:uid="{00000000-0005-0000-0000-0000F20A0000}"/>
    <cellStyle name="Currency0_1293FiscalNoteCalculations" xfId="727" xr:uid="{00000000-0005-0000-0000-0000F30A0000}"/>
    <cellStyle name="Date" xfId="6" xr:uid="{00000000-0005-0000-0000-0000F40A0000}"/>
    <cellStyle name="Date 2" xfId="45" xr:uid="{00000000-0005-0000-0000-0000F50A0000}"/>
    <cellStyle name="Date 3" xfId="35" xr:uid="{00000000-0005-0000-0000-0000F60A0000}"/>
    <cellStyle name="Date 4" xfId="728" xr:uid="{00000000-0005-0000-0000-0000F70A0000}"/>
    <cellStyle name="Date 5" xfId="729" xr:uid="{00000000-0005-0000-0000-0000F80A0000}"/>
    <cellStyle name="Date 6" xfId="730" xr:uid="{00000000-0005-0000-0000-0000F90A0000}"/>
    <cellStyle name="Date 7" xfId="731" xr:uid="{00000000-0005-0000-0000-0000FA0A0000}"/>
    <cellStyle name="Date 8" xfId="732" xr:uid="{00000000-0005-0000-0000-0000FB0A0000}"/>
    <cellStyle name="Date 9" xfId="733" xr:uid="{00000000-0005-0000-0000-0000FC0A0000}"/>
    <cellStyle name="Explanatory Text" xfId="108" builtinId="53" customBuiltin="1"/>
    <cellStyle name="Explanatory Text 10" xfId="734" xr:uid="{00000000-0005-0000-0000-0000FE0A0000}"/>
    <cellStyle name="Explanatory Text 11" xfId="735" xr:uid="{00000000-0005-0000-0000-0000FF0A0000}"/>
    <cellStyle name="Explanatory Text 12" xfId="736" xr:uid="{00000000-0005-0000-0000-0000000B0000}"/>
    <cellStyle name="Explanatory Text 13" xfId="737" xr:uid="{00000000-0005-0000-0000-0000010B0000}"/>
    <cellStyle name="Explanatory Text 14" xfId="738" xr:uid="{00000000-0005-0000-0000-0000020B0000}"/>
    <cellStyle name="Explanatory Text 15" xfId="739" xr:uid="{00000000-0005-0000-0000-0000030B0000}"/>
    <cellStyle name="Explanatory Text 16" xfId="740" xr:uid="{00000000-0005-0000-0000-0000040B0000}"/>
    <cellStyle name="Explanatory Text 17" xfId="741" xr:uid="{00000000-0005-0000-0000-0000050B0000}"/>
    <cellStyle name="Explanatory Text 18" xfId="742" xr:uid="{00000000-0005-0000-0000-0000060B0000}"/>
    <cellStyle name="Explanatory Text 19" xfId="743" xr:uid="{00000000-0005-0000-0000-0000070B0000}"/>
    <cellStyle name="Explanatory Text 2" xfId="176" xr:uid="{00000000-0005-0000-0000-0000080B0000}"/>
    <cellStyle name="Explanatory Text 3" xfId="744" xr:uid="{00000000-0005-0000-0000-0000090B0000}"/>
    <cellStyle name="Explanatory Text 4" xfId="745" xr:uid="{00000000-0005-0000-0000-00000A0B0000}"/>
    <cellStyle name="Explanatory Text 5" xfId="746" xr:uid="{00000000-0005-0000-0000-00000B0B0000}"/>
    <cellStyle name="Explanatory Text 6" xfId="747" xr:uid="{00000000-0005-0000-0000-00000C0B0000}"/>
    <cellStyle name="Explanatory Text 7" xfId="748" xr:uid="{00000000-0005-0000-0000-00000D0B0000}"/>
    <cellStyle name="Explanatory Text 8" xfId="749" xr:uid="{00000000-0005-0000-0000-00000E0B0000}"/>
    <cellStyle name="Explanatory Text 9" xfId="750" xr:uid="{00000000-0005-0000-0000-00000F0B0000}"/>
    <cellStyle name="Fixed" xfId="7" xr:uid="{00000000-0005-0000-0000-0000100B0000}"/>
    <cellStyle name="Fixed 2" xfId="46" xr:uid="{00000000-0005-0000-0000-0000110B0000}"/>
    <cellStyle name="Fixed 3" xfId="36" xr:uid="{00000000-0005-0000-0000-0000120B0000}"/>
    <cellStyle name="Fixed 4" xfId="753" xr:uid="{00000000-0005-0000-0000-0000130B0000}"/>
    <cellStyle name="Fixed 5" xfId="754" xr:uid="{00000000-0005-0000-0000-0000140B0000}"/>
    <cellStyle name="Fixed 6" xfId="755" xr:uid="{00000000-0005-0000-0000-0000150B0000}"/>
    <cellStyle name="Fixed 7" xfId="756" xr:uid="{00000000-0005-0000-0000-0000160B0000}"/>
    <cellStyle name="Fixed 8" xfId="757" xr:uid="{00000000-0005-0000-0000-0000170B0000}"/>
    <cellStyle name="Fixed 9" xfId="758" xr:uid="{00000000-0005-0000-0000-0000180B0000}"/>
    <cellStyle name="Good" xfId="99" builtinId="26" customBuiltin="1"/>
    <cellStyle name="Good 10" xfId="759" xr:uid="{00000000-0005-0000-0000-00001A0B0000}"/>
    <cellStyle name="Good 11" xfId="760" xr:uid="{00000000-0005-0000-0000-00001B0B0000}"/>
    <cellStyle name="Good 12" xfId="761" xr:uid="{00000000-0005-0000-0000-00001C0B0000}"/>
    <cellStyle name="Good 13" xfId="762" xr:uid="{00000000-0005-0000-0000-00001D0B0000}"/>
    <cellStyle name="Good 14" xfId="763" xr:uid="{00000000-0005-0000-0000-00001E0B0000}"/>
    <cellStyle name="Good 15" xfId="764" xr:uid="{00000000-0005-0000-0000-00001F0B0000}"/>
    <cellStyle name="Good 16" xfId="765" xr:uid="{00000000-0005-0000-0000-0000200B0000}"/>
    <cellStyle name="Good 17" xfId="766" xr:uid="{00000000-0005-0000-0000-0000210B0000}"/>
    <cellStyle name="Good 18" xfId="767" xr:uid="{00000000-0005-0000-0000-0000220B0000}"/>
    <cellStyle name="Good 19" xfId="768" xr:uid="{00000000-0005-0000-0000-0000230B0000}"/>
    <cellStyle name="Good 2" xfId="177" xr:uid="{00000000-0005-0000-0000-0000240B0000}"/>
    <cellStyle name="Good 20" xfId="1112" xr:uid="{00000000-0005-0000-0000-0000250B0000}"/>
    <cellStyle name="Good 3" xfId="769" xr:uid="{00000000-0005-0000-0000-0000260B0000}"/>
    <cellStyle name="Good 4" xfId="770" xr:uid="{00000000-0005-0000-0000-0000270B0000}"/>
    <cellStyle name="Good 5" xfId="771" xr:uid="{00000000-0005-0000-0000-0000280B0000}"/>
    <cellStyle name="Good 6" xfId="772" xr:uid="{00000000-0005-0000-0000-0000290B0000}"/>
    <cellStyle name="Good 7" xfId="773" xr:uid="{00000000-0005-0000-0000-00002A0B0000}"/>
    <cellStyle name="Good 8" xfId="774" xr:uid="{00000000-0005-0000-0000-00002B0B0000}"/>
    <cellStyle name="Good 9" xfId="775" xr:uid="{00000000-0005-0000-0000-00002C0B0000}"/>
    <cellStyle name="Grey" xfId="8" xr:uid="{00000000-0005-0000-0000-00002D0B0000}"/>
    <cellStyle name="Grey 2" xfId="47" xr:uid="{00000000-0005-0000-0000-00002E0B0000}"/>
    <cellStyle name="Header1" xfId="9" xr:uid="{00000000-0005-0000-0000-00002F0B0000}"/>
    <cellStyle name="Header1 2" xfId="778" xr:uid="{00000000-0005-0000-0000-0000300B0000}"/>
    <cellStyle name="Header1 3" xfId="779" xr:uid="{00000000-0005-0000-0000-0000310B0000}"/>
    <cellStyle name="Header1 4" xfId="780" xr:uid="{00000000-0005-0000-0000-0000320B0000}"/>
    <cellStyle name="Header1 5" xfId="781" xr:uid="{00000000-0005-0000-0000-0000330B0000}"/>
    <cellStyle name="Header1 6" xfId="782" xr:uid="{00000000-0005-0000-0000-0000340B0000}"/>
    <cellStyle name="Header1 7" xfId="783" xr:uid="{00000000-0005-0000-0000-0000350B0000}"/>
    <cellStyle name="Header1 8" xfId="784" xr:uid="{00000000-0005-0000-0000-0000360B0000}"/>
    <cellStyle name="Header1 9" xfId="785" xr:uid="{00000000-0005-0000-0000-0000370B0000}"/>
    <cellStyle name="Header2" xfId="10" xr:uid="{00000000-0005-0000-0000-0000380B0000}"/>
    <cellStyle name="Header2 10" xfId="1169" xr:uid="{00000000-0005-0000-0000-0000390B0000}"/>
    <cellStyle name="Header2 10 10" xfId="2425" xr:uid="{00000000-0005-0000-0000-00003A0B0000}"/>
    <cellStyle name="Header2 10 10 2" xfId="3880" xr:uid="{00000000-0005-0000-0000-00003B0B0000}"/>
    <cellStyle name="Header2 10 10 2 2" xfId="7450" xr:uid="{00000000-0005-0000-0000-00003C0B0000}"/>
    <cellStyle name="Header2 10 10 2 3" xfId="10707" xr:uid="{00000000-0005-0000-0000-00003D0B0000}"/>
    <cellStyle name="Header2 10 10 2 4" xfId="12018" xr:uid="{00000000-0005-0000-0000-00003E0B0000}"/>
    <cellStyle name="Header2 10 10 3" xfId="6013" xr:uid="{00000000-0005-0000-0000-00003F0B0000}"/>
    <cellStyle name="Header2 10 10 4" xfId="4869" xr:uid="{00000000-0005-0000-0000-0000400B0000}"/>
    <cellStyle name="Header2 10 10 5" xfId="11789" xr:uid="{00000000-0005-0000-0000-0000410B0000}"/>
    <cellStyle name="Header2 10 11" xfId="2333" xr:uid="{00000000-0005-0000-0000-0000420B0000}"/>
    <cellStyle name="Header2 10 11 2" xfId="5921" xr:uid="{00000000-0005-0000-0000-0000430B0000}"/>
    <cellStyle name="Header2 10 11 3" xfId="4577" xr:uid="{00000000-0005-0000-0000-0000440B0000}"/>
    <cellStyle name="Header2 10 11 4" xfId="11698" xr:uid="{00000000-0005-0000-0000-0000450B0000}"/>
    <cellStyle name="Header2 10 12" xfId="2684" xr:uid="{00000000-0005-0000-0000-0000460B0000}"/>
    <cellStyle name="Header2 10 12 2" xfId="6267" xr:uid="{00000000-0005-0000-0000-0000470B0000}"/>
    <cellStyle name="Header2 10 12 3" xfId="9619" xr:uid="{00000000-0005-0000-0000-0000480B0000}"/>
    <cellStyle name="Header2 10 12 4" xfId="11909" xr:uid="{00000000-0005-0000-0000-0000490B0000}"/>
    <cellStyle name="Header2 10 13" xfId="4768" xr:uid="{00000000-0005-0000-0000-00004A0B0000}"/>
    <cellStyle name="Header2 10 14" xfId="4187" xr:uid="{00000000-0005-0000-0000-00004B0B0000}"/>
    <cellStyle name="Header2 10 15" xfId="8094" xr:uid="{00000000-0005-0000-0000-00004C0B0000}"/>
    <cellStyle name="Header2 10 2" xfId="1716" xr:uid="{00000000-0005-0000-0000-00004D0B0000}"/>
    <cellStyle name="Header2 10 2 2" xfId="3193" xr:uid="{00000000-0005-0000-0000-00004E0B0000}"/>
    <cellStyle name="Header2 10 2 2 2" xfId="6766" xr:uid="{00000000-0005-0000-0000-00004F0B0000}"/>
    <cellStyle name="Header2 10 2 2 3" xfId="10046" xr:uid="{00000000-0005-0000-0000-0000500B0000}"/>
    <cellStyle name="Header2 10 2 2 4" xfId="11961" xr:uid="{00000000-0005-0000-0000-0000510B0000}"/>
    <cellStyle name="Header2 10 2 3" xfId="5308" xr:uid="{00000000-0005-0000-0000-0000520B0000}"/>
    <cellStyle name="Header2 10 2 4" xfId="4391" xr:uid="{00000000-0005-0000-0000-0000530B0000}"/>
    <cellStyle name="Header2 10 2 5" xfId="11123" xr:uid="{00000000-0005-0000-0000-0000540B0000}"/>
    <cellStyle name="Header2 10 3" xfId="1885" xr:uid="{00000000-0005-0000-0000-0000550B0000}"/>
    <cellStyle name="Header2 10 3 2" xfId="3349" xr:uid="{00000000-0005-0000-0000-0000560B0000}"/>
    <cellStyle name="Header2 10 3 2 2" xfId="6919" xr:uid="{00000000-0005-0000-0000-0000570B0000}"/>
    <cellStyle name="Header2 10 3 2 3" xfId="10176" xr:uid="{00000000-0005-0000-0000-0000580B0000}"/>
    <cellStyle name="Header2 10 3 2 4" xfId="11983" xr:uid="{00000000-0005-0000-0000-0000590B0000}"/>
    <cellStyle name="Header2 10 3 3" xfId="5473" xr:uid="{00000000-0005-0000-0000-00005A0B0000}"/>
    <cellStyle name="Header2 10 3 4" xfId="4091" xr:uid="{00000000-0005-0000-0000-00005B0B0000}"/>
    <cellStyle name="Header2 10 3 5" xfId="11254" xr:uid="{00000000-0005-0000-0000-00005C0B0000}"/>
    <cellStyle name="Header2 10 4" xfId="1612" xr:uid="{00000000-0005-0000-0000-00005D0B0000}"/>
    <cellStyle name="Header2 10 4 2" xfId="3095" xr:uid="{00000000-0005-0000-0000-00005E0B0000}"/>
    <cellStyle name="Header2 10 4 2 2" xfId="6672" xr:uid="{00000000-0005-0000-0000-00005F0B0000}"/>
    <cellStyle name="Header2 10 4 2 3" xfId="9976" xr:uid="{00000000-0005-0000-0000-0000600B0000}"/>
    <cellStyle name="Header2 10 4 2 4" xfId="11950" xr:uid="{00000000-0005-0000-0000-0000610B0000}"/>
    <cellStyle name="Header2 10 4 3" xfId="5209" xr:uid="{00000000-0005-0000-0000-0000620B0000}"/>
    <cellStyle name="Header2 10 4 4" xfId="8100" xr:uid="{00000000-0005-0000-0000-0000630B0000}"/>
    <cellStyle name="Header2 10 4 5" xfId="11058" xr:uid="{00000000-0005-0000-0000-0000640B0000}"/>
    <cellStyle name="Header2 10 5" xfId="1810" xr:uid="{00000000-0005-0000-0000-0000650B0000}"/>
    <cellStyle name="Header2 10 5 2" xfId="3287" xr:uid="{00000000-0005-0000-0000-0000660B0000}"/>
    <cellStyle name="Header2 10 5 2 2" xfId="6857" xr:uid="{00000000-0005-0000-0000-0000670B0000}"/>
    <cellStyle name="Header2 10 5 2 3" xfId="10118" xr:uid="{00000000-0005-0000-0000-0000680B0000}"/>
    <cellStyle name="Header2 10 5 2 4" xfId="11971" xr:uid="{00000000-0005-0000-0000-0000690B0000}"/>
    <cellStyle name="Header2 10 5 3" xfId="5399" xr:uid="{00000000-0005-0000-0000-00006A0B0000}"/>
    <cellStyle name="Header2 10 5 4" xfId="4421" xr:uid="{00000000-0005-0000-0000-00006B0B0000}"/>
    <cellStyle name="Header2 10 5 5" xfId="11195" xr:uid="{00000000-0005-0000-0000-00006C0B0000}"/>
    <cellStyle name="Header2 10 6" xfId="1497" xr:uid="{00000000-0005-0000-0000-00006D0B0000}"/>
    <cellStyle name="Header2 10 6 2" xfId="2982" xr:uid="{00000000-0005-0000-0000-00006E0B0000}"/>
    <cellStyle name="Header2 10 6 2 2" xfId="6559" xr:uid="{00000000-0005-0000-0000-00006F0B0000}"/>
    <cellStyle name="Header2 10 6 2 3" xfId="9883" xr:uid="{00000000-0005-0000-0000-0000700B0000}"/>
    <cellStyle name="Header2 10 6 2 4" xfId="11941" xr:uid="{00000000-0005-0000-0000-0000710B0000}"/>
    <cellStyle name="Header2 10 6 3" xfId="5094" xr:uid="{00000000-0005-0000-0000-0000720B0000}"/>
    <cellStyle name="Header2 10 6 4" xfId="8919" xr:uid="{00000000-0005-0000-0000-0000730B0000}"/>
    <cellStyle name="Header2 10 6 5" xfId="10964" xr:uid="{00000000-0005-0000-0000-0000740B0000}"/>
    <cellStyle name="Header2 10 7" xfId="1335" xr:uid="{00000000-0005-0000-0000-0000750B0000}"/>
    <cellStyle name="Header2 10 7 2" xfId="2833" xr:uid="{00000000-0005-0000-0000-0000760B0000}"/>
    <cellStyle name="Header2 10 7 2 2" xfId="6412" xr:uid="{00000000-0005-0000-0000-0000770B0000}"/>
    <cellStyle name="Header2 10 7 2 3" xfId="9738" xr:uid="{00000000-0005-0000-0000-0000780B0000}"/>
    <cellStyle name="Header2 10 7 2 4" xfId="11925" xr:uid="{00000000-0005-0000-0000-0000790B0000}"/>
    <cellStyle name="Header2 10 7 3" xfId="4933" xr:uid="{00000000-0005-0000-0000-00007A0B0000}"/>
    <cellStyle name="Header2 10 7 4" xfId="7776" xr:uid="{00000000-0005-0000-0000-00007B0B0000}"/>
    <cellStyle name="Header2 10 7 5" xfId="7838" xr:uid="{00000000-0005-0000-0000-00007C0B0000}"/>
    <cellStyle name="Header2 10 8" xfId="2264" xr:uid="{00000000-0005-0000-0000-00007D0B0000}"/>
    <cellStyle name="Header2 10 8 2" xfId="3721" xr:uid="{00000000-0005-0000-0000-00007E0B0000}"/>
    <cellStyle name="Header2 10 8 2 2" xfId="7291" xr:uid="{00000000-0005-0000-0000-00007F0B0000}"/>
    <cellStyle name="Header2 10 8 2 3" xfId="10548" xr:uid="{00000000-0005-0000-0000-0000800B0000}"/>
    <cellStyle name="Header2 10 8 2 4" xfId="11998" xr:uid="{00000000-0005-0000-0000-0000810B0000}"/>
    <cellStyle name="Header2 10 8 3" xfId="5852" xr:uid="{00000000-0005-0000-0000-0000820B0000}"/>
    <cellStyle name="Header2 10 8 4" xfId="4682" xr:uid="{00000000-0005-0000-0000-0000830B0000}"/>
    <cellStyle name="Header2 10 8 5" xfId="11630" xr:uid="{00000000-0005-0000-0000-0000840B0000}"/>
    <cellStyle name="Header2 10 9" xfId="2356" xr:uid="{00000000-0005-0000-0000-0000850B0000}"/>
    <cellStyle name="Header2 10 9 2" xfId="3812" xr:uid="{00000000-0005-0000-0000-0000860B0000}"/>
    <cellStyle name="Header2 10 9 2 2" xfId="7382" xr:uid="{00000000-0005-0000-0000-0000870B0000}"/>
    <cellStyle name="Header2 10 9 2 3" xfId="10639" xr:uid="{00000000-0005-0000-0000-0000880B0000}"/>
    <cellStyle name="Header2 10 9 2 4" xfId="12008" xr:uid="{00000000-0005-0000-0000-0000890B0000}"/>
    <cellStyle name="Header2 10 9 3" xfId="5944" xr:uid="{00000000-0005-0000-0000-00008A0B0000}"/>
    <cellStyle name="Header2 10 9 4" xfId="6187" xr:uid="{00000000-0005-0000-0000-00008B0B0000}"/>
    <cellStyle name="Header2 10 9 5" xfId="11721" xr:uid="{00000000-0005-0000-0000-00008C0B0000}"/>
    <cellStyle name="Header2 11" xfId="1464" xr:uid="{00000000-0005-0000-0000-00008D0B0000}"/>
    <cellStyle name="Header2 11 2" xfId="2949" xr:uid="{00000000-0005-0000-0000-00008E0B0000}"/>
    <cellStyle name="Header2 11 2 2" xfId="6526" xr:uid="{00000000-0005-0000-0000-00008F0B0000}"/>
    <cellStyle name="Header2 11 2 3" xfId="9850" xr:uid="{00000000-0005-0000-0000-0000900B0000}"/>
    <cellStyle name="Header2 11 2 4" xfId="11932" xr:uid="{00000000-0005-0000-0000-0000910B0000}"/>
    <cellStyle name="Header2 11 3" xfId="5061" xr:uid="{00000000-0005-0000-0000-0000920B0000}"/>
    <cellStyle name="Header2 11 4" xfId="7708" xr:uid="{00000000-0005-0000-0000-0000930B0000}"/>
    <cellStyle name="Header2 11 5" xfId="10931" xr:uid="{00000000-0005-0000-0000-0000940B0000}"/>
    <cellStyle name="Header2 12" xfId="1827" xr:uid="{00000000-0005-0000-0000-0000950B0000}"/>
    <cellStyle name="Header2 12 2" xfId="3304" xr:uid="{00000000-0005-0000-0000-0000960B0000}"/>
    <cellStyle name="Header2 12 2 2" xfId="8842" xr:uid="{00000000-0005-0000-0000-0000970B0000}"/>
    <cellStyle name="Header2 13" xfId="1414" xr:uid="{00000000-0005-0000-0000-0000980B0000}"/>
    <cellStyle name="Header2 13 2" xfId="2901" xr:uid="{00000000-0005-0000-0000-0000990B0000}"/>
    <cellStyle name="Header2 13 2 2" xfId="6479" xr:uid="{00000000-0005-0000-0000-00009A0B0000}"/>
    <cellStyle name="Header2 13 2 3" xfId="9804" xr:uid="{00000000-0005-0000-0000-00009B0B0000}"/>
    <cellStyle name="Header2 13 2 4" xfId="11926" xr:uid="{00000000-0005-0000-0000-00009C0B0000}"/>
    <cellStyle name="Header2 13 3" xfId="5012" xr:uid="{00000000-0005-0000-0000-00009D0B0000}"/>
    <cellStyle name="Header2 13 4" xfId="4860" xr:uid="{00000000-0005-0000-0000-00009E0B0000}"/>
    <cellStyle name="Header2 13 5" xfId="10886" xr:uid="{00000000-0005-0000-0000-00009F0B0000}"/>
    <cellStyle name="Header2 14" xfId="4411" xr:uid="{00000000-0005-0000-0000-0000A00B0000}"/>
    <cellStyle name="Header2 15" xfId="4363" xr:uid="{00000000-0005-0000-0000-0000A10B0000}"/>
    <cellStyle name="Header2 16" xfId="8827" xr:uid="{00000000-0005-0000-0000-0000A20B0000}"/>
    <cellStyle name="Header2 2" xfId="787" xr:uid="{00000000-0005-0000-0000-0000A30B0000}"/>
    <cellStyle name="Header2 2 2" xfId="1170" xr:uid="{00000000-0005-0000-0000-0000A40B0000}"/>
    <cellStyle name="Header2 2 2 10" xfId="2426" xr:uid="{00000000-0005-0000-0000-0000A50B0000}"/>
    <cellStyle name="Header2 2 2 10 2" xfId="3881" xr:uid="{00000000-0005-0000-0000-0000A60B0000}"/>
    <cellStyle name="Header2 2 2 10 2 2" xfId="7451" xr:uid="{00000000-0005-0000-0000-0000A70B0000}"/>
    <cellStyle name="Header2 2 2 10 2 3" xfId="10708" xr:uid="{00000000-0005-0000-0000-0000A80B0000}"/>
    <cellStyle name="Header2 2 2 10 2 4" xfId="12019" xr:uid="{00000000-0005-0000-0000-0000A90B0000}"/>
    <cellStyle name="Header2 2 2 10 3" xfId="6014" xr:uid="{00000000-0005-0000-0000-0000AA0B0000}"/>
    <cellStyle name="Header2 2 2 10 4" xfId="4691" xr:uid="{00000000-0005-0000-0000-0000AB0B0000}"/>
    <cellStyle name="Header2 2 2 10 5" xfId="11790" xr:uid="{00000000-0005-0000-0000-0000AC0B0000}"/>
    <cellStyle name="Header2 2 2 11" xfId="2424" xr:uid="{00000000-0005-0000-0000-0000AD0B0000}"/>
    <cellStyle name="Header2 2 2 11 2" xfId="6012" xr:uid="{00000000-0005-0000-0000-0000AE0B0000}"/>
    <cellStyle name="Header2 2 2 11 3" xfId="4720" xr:uid="{00000000-0005-0000-0000-0000AF0B0000}"/>
    <cellStyle name="Header2 2 2 11 4" xfId="11788" xr:uid="{00000000-0005-0000-0000-0000B00B0000}"/>
    <cellStyle name="Header2 2 2 12" xfId="2685" xr:uid="{00000000-0005-0000-0000-0000B10B0000}"/>
    <cellStyle name="Header2 2 2 12 2" xfId="6268" xr:uid="{00000000-0005-0000-0000-0000B20B0000}"/>
    <cellStyle name="Header2 2 2 12 3" xfId="9620" xr:uid="{00000000-0005-0000-0000-0000B30B0000}"/>
    <cellStyle name="Header2 2 2 12 4" xfId="11910" xr:uid="{00000000-0005-0000-0000-0000B40B0000}"/>
    <cellStyle name="Header2 2 2 13" xfId="4769" xr:uid="{00000000-0005-0000-0000-0000B50B0000}"/>
    <cellStyle name="Header2 2 2 14" xfId="751" xr:uid="{00000000-0005-0000-0000-0000B60B0000}"/>
    <cellStyle name="Header2 2 2 15" xfId="8052" xr:uid="{00000000-0005-0000-0000-0000B70B0000}"/>
    <cellStyle name="Header2 2 2 2" xfId="1717" xr:uid="{00000000-0005-0000-0000-0000B80B0000}"/>
    <cellStyle name="Header2 2 2 2 2" xfId="3194" xr:uid="{00000000-0005-0000-0000-0000B90B0000}"/>
    <cellStyle name="Header2 2 2 2 2 2" xfId="6767" xr:uid="{00000000-0005-0000-0000-0000BA0B0000}"/>
    <cellStyle name="Header2 2 2 2 2 3" xfId="10047" xr:uid="{00000000-0005-0000-0000-0000BB0B0000}"/>
    <cellStyle name="Header2 2 2 2 2 4" xfId="11962" xr:uid="{00000000-0005-0000-0000-0000BC0B0000}"/>
    <cellStyle name="Header2 2 2 2 3" xfId="5309" xr:uid="{00000000-0005-0000-0000-0000BD0B0000}"/>
    <cellStyle name="Header2 2 2 2 4" xfId="4392" xr:uid="{00000000-0005-0000-0000-0000BE0B0000}"/>
    <cellStyle name="Header2 2 2 2 5" xfId="11124" xr:uid="{00000000-0005-0000-0000-0000BF0B0000}"/>
    <cellStyle name="Header2 2 2 3" xfId="1886" xr:uid="{00000000-0005-0000-0000-0000C00B0000}"/>
    <cellStyle name="Header2 2 2 3 2" xfId="3350" xr:uid="{00000000-0005-0000-0000-0000C10B0000}"/>
    <cellStyle name="Header2 2 2 3 2 2" xfId="6920" xr:uid="{00000000-0005-0000-0000-0000C20B0000}"/>
    <cellStyle name="Header2 2 2 3 2 3" xfId="10177" xr:uid="{00000000-0005-0000-0000-0000C30B0000}"/>
    <cellStyle name="Header2 2 2 3 2 4" xfId="11984" xr:uid="{00000000-0005-0000-0000-0000C40B0000}"/>
    <cellStyle name="Header2 2 2 3 3" xfId="5474" xr:uid="{00000000-0005-0000-0000-0000C50B0000}"/>
    <cellStyle name="Header2 2 2 3 4" xfId="7722" xr:uid="{00000000-0005-0000-0000-0000C60B0000}"/>
    <cellStyle name="Header2 2 2 3 5" xfId="11255" xr:uid="{00000000-0005-0000-0000-0000C70B0000}"/>
    <cellStyle name="Header2 2 2 4" xfId="1613" xr:uid="{00000000-0005-0000-0000-0000C80B0000}"/>
    <cellStyle name="Header2 2 2 4 2" xfId="3096" xr:uid="{00000000-0005-0000-0000-0000C90B0000}"/>
    <cellStyle name="Header2 2 2 4 2 2" xfId="6673" xr:uid="{00000000-0005-0000-0000-0000CA0B0000}"/>
    <cellStyle name="Header2 2 2 4 2 3" xfId="9977" xr:uid="{00000000-0005-0000-0000-0000CB0B0000}"/>
    <cellStyle name="Header2 2 2 4 2 4" xfId="11951" xr:uid="{00000000-0005-0000-0000-0000CC0B0000}"/>
    <cellStyle name="Header2 2 2 4 3" xfId="5210" xr:uid="{00000000-0005-0000-0000-0000CD0B0000}"/>
    <cellStyle name="Header2 2 2 4 4" xfId="8482" xr:uid="{00000000-0005-0000-0000-0000CE0B0000}"/>
    <cellStyle name="Header2 2 2 4 5" xfId="11059" xr:uid="{00000000-0005-0000-0000-0000CF0B0000}"/>
    <cellStyle name="Header2 2 2 5" xfId="1811" xr:uid="{00000000-0005-0000-0000-0000D00B0000}"/>
    <cellStyle name="Header2 2 2 5 2" xfId="3288" xr:uid="{00000000-0005-0000-0000-0000D10B0000}"/>
    <cellStyle name="Header2 2 2 5 2 2" xfId="6858" xr:uid="{00000000-0005-0000-0000-0000D20B0000}"/>
    <cellStyle name="Header2 2 2 5 2 3" xfId="10119" xr:uid="{00000000-0005-0000-0000-0000D30B0000}"/>
    <cellStyle name="Header2 2 2 5 2 4" xfId="11972" xr:uid="{00000000-0005-0000-0000-0000D40B0000}"/>
    <cellStyle name="Header2 2 2 5 3" xfId="5400" xr:uid="{00000000-0005-0000-0000-0000D50B0000}"/>
    <cellStyle name="Header2 2 2 5 4" xfId="4422" xr:uid="{00000000-0005-0000-0000-0000D60B0000}"/>
    <cellStyle name="Header2 2 2 5 5" xfId="11196" xr:uid="{00000000-0005-0000-0000-0000D70B0000}"/>
    <cellStyle name="Header2 2 2 6" xfId="1498" xr:uid="{00000000-0005-0000-0000-0000D80B0000}"/>
    <cellStyle name="Header2 2 2 6 2" xfId="2983" xr:uid="{00000000-0005-0000-0000-0000D90B0000}"/>
    <cellStyle name="Header2 2 2 6 2 2" xfId="6560" xr:uid="{00000000-0005-0000-0000-0000DA0B0000}"/>
    <cellStyle name="Header2 2 2 6 2 3" xfId="9884" xr:uid="{00000000-0005-0000-0000-0000DB0B0000}"/>
    <cellStyle name="Header2 2 2 6 2 4" xfId="11942" xr:uid="{00000000-0005-0000-0000-0000DC0B0000}"/>
    <cellStyle name="Header2 2 2 6 3" xfId="5095" xr:uid="{00000000-0005-0000-0000-0000DD0B0000}"/>
    <cellStyle name="Header2 2 2 6 4" xfId="7921" xr:uid="{00000000-0005-0000-0000-0000DE0B0000}"/>
    <cellStyle name="Header2 2 2 6 5" xfId="10965" xr:uid="{00000000-0005-0000-0000-0000DF0B0000}"/>
    <cellStyle name="Header2 2 2 7" xfId="1334" xr:uid="{00000000-0005-0000-0000-0000E00B0000}"/>
    <cellStyle name="Header2 2 2 7 2" xfId="2832" xr:uid="{00000000-0005-0000-0000-0000E10B0000}"/>
    <cellStyle name="Header2 2 2 7 2 2" xfId="6411" xr:uid="{00000000-0005-0000-0000-0000E20B0000}"/>
    <cellStyle name="Header2 2 2 7 2 3" xfId="9737" xr:uid="{00000000-0005-0000-0000-0000E30B0000}"/>
    <cellStyle name="Header2 2 2 7 2 4" xfId="11924" xr:uid="{00000000-0005-0000-0000-0000E40B0000}"/>
    <cellStyle name="Header2 2 2 7 3" xfId="4932" xr:uid="{00000000-0005-0000-0000-0000E50B0000}"/>
    <cellStyle name="Header2 2 2 7 4" xfId="8109" xr:uid="{00000000-0005-0000-0000-0000E60B0000}"/>
    <cellStyle name="Header2 2 2 7 5" xfId="4111" xr:uid="{00000000-0005-0000-0000-0000E70B0000}"/>
    <cellStyle name="Header2 2 2 8" xfId="2265" xr:uid="{00000000-0005-0000-0000-0000E80B0000}"/>
    <cellStyle name="Header2 2 2 8 2" xfId="3722" xr:uid="{00000000-0005-0000-0000-0000E90B0000}"/>
    <cellStyle name="Header2 2 2 8 2 2" xfId="7292" xr:uid="{00000000-0005-0000-0000-0000EA0B0000}"/>
    <cellStyle name="Header2 2 2 8 2 3" xfId="10549" xr:uid="{00000000-0005-0000-0000-0000EB0B0000}"/>
    <cellStyle name="Header2 2 2 8 2 4" xfId="11999" xr:uid="{00000000-0005-0000-0000-0000EC0B0000}"/>
    <cellStyle name="Header2 2 2 8 3" xfId="5853" xr:uid="{00000000-0005-0000-0000-0000ED0B0000}"/>
    <cellStyle name="Header2 2 2 8 4" xfId="6246" xr:uid="{00000000-0005-0000-0000-0000EE0B0000}"/>
    <cellStyle name="Header2 2 2 8 5" xfId="11631" xr:uid="{00000000-0005-0000-0000-0000EF0B0000}"/>
    <cellStyle name="Header2 2 2 9" xfId="2357" xr:uid="{00000000-0005-0000-0000-0000F00B0000}"/>
    <cellStyle name="Header2 2 2 9 2" xfId="3813" xr:uid="{00000000-0005-0000-0000-0000F10B0000}"/>
    <cellStyle name="Header2 2 2 9 2 2" xfId="7383" xr:uid="{00000000-0005-0000-0000-0000F20B0000}"/>
    <cellStyle name="Header2 2 2 9 2 3" xfId="10640" xr:uid="{00000000-0005-0000-0000-0000F30B0000}"/>
    <cellStyle name="Header2 2 2 9 2 4" xfId="12009" xr:uid="{00000000-0005-0000-0000-0000F40B0000}"/>
    <cellStyle name="Header2 2 2 9 3" xfId="5945" xr:uid="{00000000-0005-0000-0000-0000F50B0000}"/>
    <cellStyle name="Header2 2 2 9 4" xfId="4581" xr:uid="{00000000-0005-0000-0000-0000F60B0000}"/>
    <cellStyle name="Header2 2 2 9 5" xfId="11722" xr:uid="{00000000-0005-0000-0000-0000F70B0000}"/>
    <cellStyle name="Header2 2 3" xfId="1465" xr:uid="{00000000-0005-0000-0000-0000F80B0000}"/>
    <cellStyle name="Header2 2 3 2" xfId="2950" xr:uid="{00000000-0005-0000-0000-0000F90B0000}"/>
    <cellStyle name="Header2 2 3 2 2" xfId="6527" xr:uid="{00000000-0005-0000-0000-0000FA0B0000}"/>
    <cellStyle name="Header2 2 3 2 3" xfId="9851" xr:uid="{00000000-0005-0000-0000-0000FB0B0000}"/>
    <cellStyle name="Header2 2 3 2 4" xfId="11933" xr:uid="{00000000-0005-0000-0000-0000FC0B0000}"/>
    <cellStyle name="Header2 2 3 3" xfId="5062" xr:uid="{00000000-0005-0000-0000-0000FD0B0000}"/>
    <cellStyle name="Header2 2 3 4" xfId="7605" xr:uid="{00000000-0005-0000-0000-0000FE0B0000}"/>
    <cellStyle name="Header2 2 3 5" xfId="10932" xr:uid="{00000000-0005-0000-0000-0000FF0B0000}"/>
    <cellStyle name="Header2 2 4" xfId="1847" xr:uid="{00000000-0005-0000-0000-0000000C0000}"/>
    <cellStyle name="Header2 2 4 2" xfId="3319" xr:uid="{00000000-0005-0000-0000-0000010C0000}"/>
    <cellStyle name="Header2 2 4 2 2" xfId="8857" xr:uid="{00000000-0005-0000-0000-0000020C0000}"/>
    <cellStyle name="Header2 2 5" xfId="1415" xr:uid="{00000000-0005-0000-0000-0000030C0000}"/>
    <cellStyle name="Header2 2 5 2" xfId="2902" xr:uid="{00000000-0005-0000-0000-0000040C0000}"/>
    <cellStyle name="Header2 2 5 2 2" xfId="6480" xr:uid="{00000000-0005-0000-0000-0000050C0000}"/>
    <cellStyle name="Header2 2 5 2 3" xfId="9805" xr:uid="{00000000-0005-0000-0000-0000060C0000}"/>
    <cellStyle name="Header2 2 5 2 4" xfId="11927" xr:uid="{00000000-0005-0000-0000-0000070C0000}"/>
    <cellStyle name="Header2 2 5 3" xfId="5013" xr:uid="{00000000-0005-0000-0000-0000080C0000}"/>
    <cellStyle name="Header2 2 5 4" xfId="5390" xr:uid="{00000000-0005-0000-0000-0000090C0000}"/>
    <cellStyle name="Header2 2 5 5" xfId="10887" xr:uid="{00000000-0005-0000-0000-00000A0C0000}"/>
    <cellStyle name="Header2 2 6" xfId="4412" xr:uid="{00000000-0005-0000-0000-00000B0C0000}"/>
    <cellStyle name="Header2 2 7" xfId="4362" xr:uid="{00000000-0005-0000-0000-00000C0C0000}"/>
    <cellStyle name="Header2 2 8" xfId="7842" xr:uid="{00000000-0005-0000-0000-00000D0C0000}"/>
    <cellStyle name="Header2 3" xfId="788" xr:uid="{00000000-0005-0000-0000-00000E0C0000}"/>
    <cellStyle name="Header2 3 2" xfId="1171" xr:uid="{00000000-0005-0000-0000-00000F0C0000}"/>
    <cellStyle name="Header2 3 2 10" xfId="2427" xr:uid="{00000000-0005-0000-0000-0000100C0000}"/>
    <cellStyle name="Header2 3 2 10 2" xfId="3882" xr:uid="{00000000-0005-0000-0000-0000110C0000}"/>
    <cellStyle name="Header2 3 2 10 2 2" xfId="7452" xr:uid="{00000000-0005-0000-0000-0000120C0000}"/>
    <cellStyle name="Header2 3 2 10 2 3" xfId="10709" xr:uid="{00000000-0005-0000-0000-0000130C0000}"/>
    <cellStyle name="Header2 3 2 10 2 4" xfId="12020" xr:uid="{00000000-0005-0000-0000-0000140C0000}"/>
    <cellStyle name="Header2 3 2 10 3" xfId="6015" xr:uid="{00000000-0005-0000-0000-0000150C0000}"/>
    <cellStyle name="Header2 3 2 10 4" xfId="5398" xr:uid="{00000000-0005-0000-0000-0000160C0000}"/>
    <cellStyle name="Header2 3 2 10 5" xfId="11791" xr:uid="{00000000-0005-0000-0000-0000170C0000}"/>
    <cellStyle name="Header2 3 2 11" xfId="1322" xr:uid="{00000000-0005-0000-0000-0000180C0000}"/>
    <cellStyle name="Header2 3 2 11 2" xfId="4920" xr:uid="{00000000-0005-0000-0000-0000190C0000}"/>
    <cellStyle name="Header2 3 2 11 3" xfId="7631" xr:uid="{00000000-0005-0000-0000-00001A0C0000}"/>
    <cellStyle name="Header2 3 2 11 4" xfId="8675" xr:uid="{00000000-0005-0000-0000-00001B0C0000}"/>
    <cellStyle name="Header2 3 2 12" xfId="2686" xr:uid="{00000000-0005-0000-0000-00001C0C0000}"/>
    <cellStyle name="Header2 3 2 12 2" xfId="6269" xr:uid="{00000000-0005-0000-0000-00001D0C0000}"/>
    <cellStyle name="Header2 3 2 12 3" xfId="9621" xr:uid="{00000000-0005-0000-0000-00001E0C0000}"/>
    <cellStyle name="Header2 3 2 12 4" xfId="11911" xr:uid="{00000000-0005-0000-0000-00001F0C0000}"/>
    <cellStyle name="Header2 3 2 13" xfId="4770" xr:uid="{00000000-0005-0000-0000-0000200C0000}"/>
    <cellStyle name="Header2 3 2 14" xfId="4186" xr:uid="{00000000-0005-0000-0000-0000210C0000}"/>
    <cellStyle name="Header2 3 2 15" xfId="7997" xr:uid="{00000000-0005-0000-0000-0000220C0000}"/>
    <cellStyle name="Header2 3 2 2" xfId="1718" xr:uid="{00000000-0005-0000-0000-0000230C0000}"/>
    <cellStyle name="Header2 3 2 2 2" xfId="3195" xr:uid="{00000000-0005-0000-0000-0000240C0000}"/>
    <cellStyle name="Header2 3 2 2 2 2" xfId="6768" xr:uid="{00000000-0005-0000-0000-0000250C0000}"/>
    <cellStyle name="Header2 3 2 2 2 3" xfId="10048" xr:uid="{00000000-0005-0000-0000-0000260C0000}"/>
    <cellStyle name="Header2 3 2 2 2 4" xfId="11963" xr:uid="{00000000-0005-0000-0000-0000270C0000}"/>
    <cellStyle name="Header2 3 2 2 3" xfId="5310" xr:uid="{00000000-0005-0000-0000-0000280C0000}"/>
    <cellStyle name="Header2 3 2 2 4" xfId="4393" xr:uid="{00000000-0005-0000-0000-0000290C0000}"/>
    <cellStyle name="Header2 3 2 2 5" xfId="11125" xr:uid="{00000000-0005-0000-0000-00002A0C0000}"/>
    <cellStyle name="Header2 3 2 3" xfId="1887" xr:uid="{00000000-0005-0000-0000-00002B0C0000}"/>
    <cellStyle name="Header2 3 2 3 2" xfId="3351" xr:uid="{00000000-0005-0000-0000-00002C0C0000}"/>
    <cellStyle name="Header2 3 2 3 2 2" xfId="6921" xr:uid="{00000000-0005-0000-0000-00002D0C0000}"/>
    <cellStyle name="Header2 3 2 3 2 3" xfId="10178" xr:uid="{00000000-0005-0000-0000-00002E0C0000}"/>
    <cellStyle name="Header2 3 2 3 2 4" xfId="11985" xr:uid="{00000000-0005-0000-0000-00002F0C0000}"/>
    <cellStyle name="Header2 3 2 3 3" xfId="5475" xr:uid="{00000000-0005-0000-0000-0000300C0000}"/>
    <cellStyle name="Header2 3 2 3 4" xfId="7894" xr:uid="{00000000-0005-0000-0000-0000310C0000}"/>
    <cellStyle name="Header2 3 2 3 5" xfId="11256" xr:uid="{00000000-0005-0000-0000-0000320C0000}"/>
    <cellStyle name="Header2 3 2 4" xfId="1614" xr:uid="{00000000-0005-0000-0000-0000330C0000}"/>
    <cellStyle name="Header2 3 2 4 2" xfId="3097" xr:uid="{00000000-0005-0000-0000-0000340C0000}"/>
    <cellStyle name="Header2 3 2 4 2 2" xfId="6674" xr:uid="{00000000-0005-0000-0000-0000350C0000}"/>
    <cellStyle name="Header2 3 2 4 2 3" xfId="9978" xr:uid="{00000000-0005-0000-0000-0000360C0000}"/>
    <cellStyle name="Header2 3 2 4 2 4" xfId="11952" xr:uid="{00000000-0005-0000-0000-0000370C0000}"/>
    <cellStyle name="Header2 3 2 4 3" xfId="5211" xr:uid="{00000000-0005-0000-0000-0000380C0000}"/>
    <cellStyle name="Header2 3 2 4 4" xfId="7610" xr:uid="{00000000-0005-0000-0000-0000390C0000}"/>
    <cellStyle name="Header2 3 2 4 5" xfId="11060" xr:uid="{00000000-0005-0000-0000-00003A0C0000}"/>
    <cellStyle name="Header2 3 2 5" xfId="1812" xr:uid="{00000000-0005-0000-0000-00003B0C0000}"/>
    <cellStyle name="Header2 3 2 5 2" xfId="3289" xr:uid="{00000000-0005-0000-0000-00003C0C0000}"/>
    <cellStyle name="Header2 3 2 5 2 2" xfId="6859" xr:uid="{00000000-0005-0000-0000-00003D0C0000}"/>
    <cellStyle name="Header2 3 2 5 2 3" xfId="10120" xr:uid="{00000000-0005-0000-0000-00003E0C0000}"/>
    <cellStyle name="Header2 3 2 5 2 4" xfId="11973" xr:uid="{00000000-0005-0000-0000-00003F0C0000}"/>
    <cellStyle name="Header2 3 2 5 3" xfId="5401" xr:uid="{00000000-0005-0000-0000-0000400C0000}"/>
    <cellStyle name="Header2 3 2 5 4" xfId="4423" xr:uid="{00000000-0005-0000-0000-0000410C0000}"/>
    <cellStyle name="Header2 3 2 5 5" xfId="11197" xr:uid="{00000000-0005-0000-0000-0000420C0000}"/>
    <cellStyle name="Header2 3 2 6" xfId="1822" xr:uid="{00000000-0005-0000-0000-0000430C0000}"/>
    <cellStyle name="Header2 3 2 6 2" xfId="3299" xr:uid="{00000000-0005-0000-0000-0000440C0000}"/>
    <cellStyle name="Header2 3 2 6 2 2" xfId="6869" xr:uid="{00000000-0005-0000-0000-0000450C0000}"/>
    <cellStyle name="Header2 3 2 6 2 3" xfId="10130" xr:uid="{00000000-0005-0000-0000-0000460C0000}"/>
    <cellStyle name="Header2 3 2 6 2 4" xfId="11981" xr:uid="{00000000-0005-0000-0000-0000470C0000}"/>
    <cellStyle name="Header2 3 2 6 3" xfId="5411" xr:uid="{00000000-0005-0000-0000-0000480C0000}"/>
    <cellStyle name="Header2 3 2 6 4" xfId="4425" xr:uid="{00000000-0005-0000-0000-0000490C0000}"/>
    <cellStyle name="Header2 3 2 6 5" xfId="11207" xr:uid="{00000000-0005-0000-0000-00004A0C0000}"/>
    <cellStyle name="Header2 3 2 7" xfId="1333" xr:uid="{00000000-0005-0000-0000-00004B0C0000}"/>
    <cellStyle name="Header2 3 2 7 2" xfId="2831" xr:uid="{00000000-0005-0000-0000-00004C0C0000}"/>
    <cellStyle name="Header2 3 2 7 2 2" xfId="6410" xr:uid="{00000000-0005-0000-0000-00004D0C0000}"/>
    <cellStyle name="Header2 3 2 7 2 3" xfId="9736" xr:uid="{00000000-0005-0000-0000-00004E0C0000}"/>
    <cellStyle name="Header2 3 2 7 2 4" xfId="11923" xr:uid="{00000000-0005-0000-0000-00004F0C0000}"/>
    <cellStyle name="Header2 3 2 7 3" xfId="4931" xr:uid="{00000000-0005-0000-0000-0000500C0000}"/>
    <cellStyle name="Header2 3 2 7 4" xfId="8097" xr:uid="{00000000-0005-0000-0000-0000510C0000}"/>
    <cellStyle name="Header2 3 2 7 5" xfId="4228" xr:uid="{00000000-0005-0000-0000-0000520C0000}"/>
    <cellStyle name="Header2 3 2 8" xfId="2266" xr:uid="{00000000-0005-0000-0000-0000530C0000}"/>
    <cellStyle name="Header2 3 2 8 2" xfId="3723" xr:uid="{00000000-0005-0000-0000-0000540C0000}"/>
    <cellStyle name="Header2 3 2 8 2 2" xfId="7293" xr:uid="{00000000-0005-0000-0000-0000550C0000}"/>
    <cellStyle name="Header2 3 2 8 2 3" xfId="10550" xr:uid="{00000000-0005-0000-0000-0000560C0000}"/>
    <cellStyle name="Header2 3 2 8 2 4" xfId="12000" xr:uid="{00000000-0005-0000-0000-0000570C0000}"/>
    <cellStyle name="Header2 3 2 8 3" xfId="5854" xr:uid="{00000000-0005-0000-0000-0000580C0000}"/>
    <cellStyle name="Header2 3 2 8 4" xfId="4897" xr:uid="{00000000-0005-0000-0000-0000590C0000}"/>
    <cellStyle name="Header2 3 2 8 5" xfId="11632" xr:uid="{00000000-0005-0000-0000-00005A0C0000}"/>
    <cellStyle name="Header2 3 2 9" xfId="2358" xr:uid="{00000000-0005-0000-0000-00005B0C0000}"/>
    <cellStyle name="Header2 3 2 9 2" xfId="3814" xr:uid="{00000000-0005-0000-0000-00005C0C0000}"/>
    <cellStyle name="Header2 3 2 9 2 2" xfId="7384" xr:uid="{00000000-0005-0000-0000-00005D0C0000}"/>
    <cellStyle name="Header2 3 2 9 2 3" xfId="10641" xr:uid="{00000000-0005-0000-0000-00005E0C0000}"/>
    <cellStyle name="Header2 3 2 9 2 4" xfId="12010" xr:uid="{00000000-0005-0000-0000-00005F0C0000}"/>
    <cellStyle name="Header2 3 2 9 3" xfId="5946" xr:uid="{00000000-0005-0000-0000-0000600C0000}"/>
    <cellStyle name="Header2 3 2 9 4" xfId="4812" xr:uid="{00000000-0005-0000-0000-0000610C0000}"/>
    <cellStyle name="Header2 3 2 9 5" xfId="11723" xr:uid="{00000000-0005-0000-0000-0000620C0000}"/>
    <cellStyle name="Header2 3 3" xfId="1466" xr:uid="{00000000-0005-0000-0000-0000630C0000}"/>
    <cellStyle name="Header2 3 3 2" xfId="2951" xr:uid="{00000000-0005-0000-0000-0000640C0000}"/>
    <cellStyle name="Header2 3 3 2 2" xfId="6528" xr:uid="{00000000-0005-0000-0000-0000650C0000}"/>
    <cellStyle name="Header2 3 3 2 3" xfId="9852" xr:uid="{00000000-0005-0000-0000-0000660C0000}"/>
    <cellStyle name="Header2 3 3 2 4" xfId="11934" xr:uid="{00000000-0005-0000-0000-0000670C0000}"/>
    <cellStyle name="Header2 3 3 3" xfId="5063" xr:uid="{00000000-0005-0000-0000-0000680C0000}"/>
    <cellStyle name="Header2 3 3 4" xfId="8534" xr:uid="{00000000-0005-0000-0000-0000690C0000}"/>
    <cellStyle name="Header2 3 3 5" xfId="10933" xr:uid="{00000000-0005-0000-0000-00006A0C0000}"/>
    <cellStyle name="Header2 3 4" xfId="1297" xr:uid="{00000000-0005-0000-0000-00006B0C0000}"/>
    <cellStyle name="Header2 3 4 2" xfId="2797" xr:uid="{00000000-0005-0000-0000-00006C0C0000}"/>
    <cellStyle name="Header2 3 4 2 2" xfId="8382" xr:uid="{00000000-0005-0000-0000-00006D0C0000}"/>
    <cellStyle name="Header2 3 5" xfId="1416" xr:uid="{00000000-0005-0000-0000-00006E0C0000}"/>
    <cellStyle name="Header2 3 5 2" xfId="2903" xr:uid="{00000000-0005-0000-0000-00006F0C0000}"/>
    <cellStyle name="Header2 3 5 2 2" xfId="6481" xr:uid="{00000000-0005-0000-0000-0000700C0000}"/>
    <cellStyle name="Header2 3 5 2 3" xfId="9806" xr:uid="{00000000-0005-0000-0000-0000710C0000}"/>
    <cellStyle name="Header2 3 5 2 4" xfId="11928" xr:uid="{00000000-0005-0000-0000-0000720C0000}"/>
    <cellStyle name="Header2 3 5 3" xfId="5014" xr:uid="{00000000-0005-0000-0000-0000730C0000}"/>
    <cellStyle name="Header2 3 5 4" xfId="6848" xr:uid="{00000000-0005-0000-0000-0000740C0000}"/>
    <cellStyle name="Header2 3 5 5" xfId="10888" xr:uid="{00000000-0005-0000-0000-0000750C0000}"/>
    <cellStyle name="Header2 3 6" xfId="4413" xr:uid="{00000000-0005-0000-0000-0000760C0000}"/>
    <cellStyle name="Header2 3 7" xfId="4361" xr:uid="{00000000-0005-0000-0000-0000770C0000}"/>
    <cellStyle name="Header2 3 8" xfId="4107" xr:uid="{00000000-0005-0000-0000-0000780C0000}"/>
    <cellStyle name="Header2 4" xfId="789" xr:uid="{00000000-0005-0000-0000-0000790C0000}"/>
    <cellStyle name="Header2 4 2" xfId="1172" xr:uid="{00000000-0005-0000-0000-00007A0C0000}"/>
    <cellStyle name="Header2 4 2 10" xfId="2428" xr:uid="{00000000-0005-0000-0000-00007B0C0000}"/>
    <cellStyle name="Header2 4 2 10 2" xfId="3883" xr:uid="{00000000-0005-0000-0000-00007C0C0000}"/>
    <cellStyle name="Header2 4 2 10 2 2" xfId="7453" xr:uid="{00000000-0005-0000-0000-00007D0C0000}"/>
    <cellStyle name="Header2 4 2 10 2 3" xfId="10710" xr:uid="{00000000-0005-0000-0000-00007E0C0000}"/>
    <cellStyle name="Header2 4 2 10 2 4" xfId="12021" xr:uid="{00000000-0005-0000-0000-00007F0C0000}"/>
    <cellStyle name="Header2 4 2 10 3" xfId="6016" xr:uid="{00000000-0005-0000-0000-0000800C0000}"/>
    <cellStyle name="Header2 4 2 10 4" xfId="6856" xr:uid="{00000000-0005-0000-0000-0000810C0000}"/>
    <cellStyle name="Header2 4 2 10 5" xfId="11792" xr:uid="{00000000-0005-0000-0000-0000820C0000}"/>
    <cellStyle name="Header2 4 2 11" xfId="2056" xr:uid="{00000000-0005-0000-0000-0000830C0000}"/>
    <cellStyle name="Header2 4 2 11 2" xfId="5644" xr:uid="{00000000-0005-0000-0000-0000840C0000}"/>
    <cellStyle name="Header2 4 2 11 3" xfId="7882" xr:uid="{00000000-0005-0000-0000-0000850C0000}"/>
    <cellStyle name="Header2 4 2 11 4" xfId="11423" xr:uid="{00000000-0005-0000-0000-0000860C0000}"/>
    <cellStyle name="Header2 4 2 12" xfId="2687" xr:uid="{00000000-0005-0000-0000-0000870C0000}"/>
    <cellStyle name="Header2 4 2 12 2" xfId="6270" xr:uid="{00000000-0005-0000-0000-0000880C0000}"/>
    <cellStyle name="Header2 4 2 12 3" xfId="9622" xr:uid="{00000000-0005-0000-0000-0000890C0000}"/>
    <cellStyle name="Header2 4 2 12 4" xfId="11912" xr:uid="{00000000-0005-0000-0000-00008A0C0000}"/>
    <cellStyle name="Header2 4 2 13" xfId="4771" xr:uid="{00000000-0005-0000-0000-00008B0C0000}"/>
    <cellStyle name="Header2 4 2 14" xfId="4185" xr:uid="{00000000-0005-0000-0000-00008C0C0000}"/>
    <cellStyle name="Header2 4 2 15" xfId="7981" xr:uid="{00000000-0005-0000-0000-00008D0C0000}"/>
    <cellStyle name="Header2 4 2 2" xfId="1719" xr:uid="{00000000-0005-0000-0000-00008E0C0000}"/>
    <cellStyle name="Header2 4 2 2 2" xfId="3196" xr:uid="{00000000-0005-0000-0000-00008F0C0000}"/>
    <cellStyle name="Header2 4 2 2 2 2" xfId="6769" xr:uid="{00000000-0005-0000-0000-0000900C0000}"/>
    <cellStyle name="Header2 4 2 2 2 3" xfId="10049" xr:uid="{00000000-0005-0000-0000-0000910C0000}"/>
    <cellStyle name="Header2 4 2 2 2 4" xfId="11964" xr:uid="{00000000-0005-0000-0000-0000920C0000}"/>
    <cellStyle name="Header2 4 2 2 3" xfId="5311" xr:uid="{00000000-0005-0000-0000-0000930C0000}"/>
    <cellStyle name="Header2 4 2 2 4" xfId="4018" xr:uid="{00000000-0005-0000-0000-0000940C0000}"/>
    <cellStyle name="Header2 4 2 2 5" xfId="11126" xr:uid="{00000000-0005-0000-0000-0000950C0000}"/>
    <cellStyle name="Header2 4 2 3" xfId="1888" xr:uid="{00000000-0005-0000-0000-0000960C0000}"/>
    <cellStyle name="Header2 4 2 3 2" xfId="3352" xr:uid="{00000000-0005-0000-0000-0000970C0000}"/>
    <cellStyle name="Header2 4 2 3 2 2" xfId="6922" xr:uid="{00000000-0005-0000-0000-0000980C0000}"/>
    <cellStyle name="Header2 4 2 3 2 3" xfId="10179" xr:uid="{00000000-0005-0000-0000-0000990C0000}"/>
    <cellStyle name="Header2 4 2 3 2 4" xfId="11986" xr:uid="{00000000-0005-0000-0000-00009A0C0000}"/>
    <cellStyle name="Header2 4 2 3 3" xfId="5476" xr:uid="{00000000-0005-0000-0000-00009B0C0000}"/>
    <cellStyle name="Header2 4 2 3 4" xfId="7797" xr:uid="{00000000-0005-0000-0000-00009C0C0000}"/>
    <cellStyle name="Header2 4 2 3 5" xfId="11257" xr:uid="{00000000-0005-0000-0000-00009D0C0000}"/>
    <cellStyle name="Header2 4 2 4" xfId="1615" xr:uid="{00000000-0005-0000-0000-00009E0C0000}"/>
    <cellStyle name="Header2 4 2 4 2" xfId="3098" xr:uid="{00000000-0005-0000-0000-00009F0C0000}"/>
    <cellStyle name="Header2 4 2 4 2 2" xfId="6675" xr:uid="{00000000-0005-0000-0000-0000A00C0000}"/>
    <cellStyle name="Header2 4 2 4 2 3" xfId="9979" xr:uid="{00000000-0005-0000-0000-0000A10C0000}"/>
    <cellStyle name="Header2 4 2 4 2 4" xfId="11953" xr:uid="{00000000-0005-0000-0000-0000A20C0000}"/>
    <cellStyle name="Header2 4 2 4 3" xfId="5212" xr:uid="{00000000-0005-0000-0000-0000A30C0000}"/>
    <cellStyle name="Header2 4 2 4 4" xfId="7870" xr:uid="{00000000-0005-0000-0000-0000A40C0000}"/>
    <cellStyle name="Header2 4 2 4 5" xfId="11061" xr:uid="{00000000-0005-0000-0000-0000A50C0000}"/>
    <cellStyle name="Header2 4 2 5" xfId="1813" xr:uid="{00000000-0005-0000-0000-0000A60C0000}"/>
    <cellStyle name="Header2 4 2 5 2" xfId="3290" xr:uid="{00000000-0005-0000-0000-0000A70C0000}"/>
    <cellStyle name="Header2 4 2 5 2 2" xfId="6860" xr:uid="{00000000-0005-0000-0000-0000A80C0000}"/>
    <cellStyle name="Header2 4 2 5 2 3" xfId="10121" xr:uid="{00000000-0005-0000-0000-0000A90C0000}"/>
    <cellStyle name="Header2 4 2 5 2 4" xfId="11974" xr:uid="{00000000-0005-0000-0000-0000AA0C0000}"/>
    <cellStyle name="Header2 4 2 5 3" xfId="5402" xr:uid="{00000000-0005-0000-0000-0000AB0C0000}"/>
    <cellStyle name="Header2 4 2 5 4" xfId="4424" xr:uid="{00000000-0005-0000-0000-0000AC0C0000}"/>
    <cellStyle name="Header2 4 2 5 5" xfId="11198" xr:uid="{00000000-0005-0000-0000-0000AD0C0000}"/>
    <cellStyle name="Header2 4 2 6" xfId="1558" xr:uid="{00000000-0005-0000-0000-0000AE0C0000}"/>
    <cellStyle name="Header2 4 2 6 2" xfId="3042" xr:uid="{00000000-0005-0000-0000-0000AF0C0000}"/>
    <cellStyle name="Header2 4 2 6 2 2" xfId="6619" xr:uid="{00000000-0005-0000-0000-0000B00C0000}"/>
    <cellStyle name="Header2 4 2 6 2 3" xfId="9926" xr:uid="{00000000-0005-0000-0000-0000B10C0000}"/>
    <cellStyle name="Header2 4 2 6 2 4" xfId="11947" xr:uid="{00000000-0005-0000-0000-0000B20C0000}"/>
    <cellStyle name="Header2 4 2 6 3" xfId="5155" xr:uid="{00000000-0005-0000-0000-0000B30C0000}"/>
    <cellStyle name="Header2 4 2 6 4" xfId="7807" xr:uid="{00000000-0005-0000-0000-0000B40C0000}"/>
    <cellStyle name="Header2 4 2 6 5" xfId="11008" xr:uid="{00000000-0005-0000-0000-0000B50C0000}"/>
    <cellStyle name="Header2 4 2 7" xfId="1832" xr:uid="{00000000-0005-0000-0000-0000B60C0000}"/>
    <cellStyle name="Header2 4 2 7 2" xfId="3309" xr:uid="{00000000-0005-0000-0000-0000B70C0000}"/>
    <cellStyle name="Header2 4 2 7 2 2" xfId="6879" xr:uid="{00000000-0005-0000-0000-0000B80C0000}"/>
    <cellStyle name="Header2 4 2 7 2 3" xfId="10139" xr:uid="{00000000-0005-0000-0000-0000B90C0000}"/>
    <cellStyle name="Header2 4 2 7 2 4" xfId="11982" xr:uid="{00000000-0005-0000-0000-0000BA0C0000}"/>
    <cellStyle name="Header2 4 2 7 3" xfId="5421" xr:uid="{00000000-0005-0000-0000-0000BB0C0000}"/>
    <cellStyle name="Header2 4 2 7 4" xfId="6142" xr:uid="{00000000-0005-0000-0000-0000BC0C0000}"/>
    <cellStyle name="Header2 4 2 7 5" xfId="11216" xr:uid="{00000000-0005-0000-0000-0000BD0C0000}"/>
    <cellStyle name="Header2 4 2 8" xfId="2267" xr:uid="{00000000-0005-0000-0000-0000BE0C0000}"/>
    <cellStyle name="Header2 4 2 8 2" xfId="3724" xr:uid="{00000000-0005-0000-0000-0000BF0C0000}"/>
    <cellStyle name="Header2 4 2 8 2 2" xfId="7294" xr:uid="{00000000-0005-0000-0000-0000C00C0000}"/>
    <cellStyle name="Header2 4 2 8 2 3" xfId="10551" xr:uid="{00000000-0005-0000-0000-0000C10C0000}"/>
    <cellStyle name="Header2 4 2 8 2 4" xfId="12001" xr:uid="{00000000-0005-0000-0000-0000C20C0000}"/>
    <cellStyle name="Header2 4 2 8 3" xfId="5855" xr:uid="{00000000-0005-0000-0000-0000C30C0000}"/>
    <cellStyle name="Header2 4 2 8 4" xfId="6378" xr:uid="{00000000-0005-0000-0000-0000C40C0000}"/>
    <cellStyle name="Header2 4 2 8 5" xfId="11633" xr:uid="{00000000-0005-0000-0000-0000C50C0000}"/>
    <cellStyle name="Header2 4 2 9" xfId="2359" xr:uid="{00000000-0005-0000-0000-0000C60C0000}"/>
    <cellStyle name="Header2 4 2 9 2" xfId="3815" xr:uid="{00000000-0005-0000-0000-0000C70C0000}"/>
    <cellStyle name="Header2 4 2 9 2 2" xfId="7385" xr:uid="{00000000-0005-0000-0000-0000C80C0000}"/>
    <cellStyle name="Header2 4 2 9 2 3" xfId="10642" xr:uid="{00000000-0005-0000-0000-0000C90C0000}"/>
    <cellStyle name="Header2 4 2 9 2 4" xfId="12011" xr:uid="{00000000-0005-0000-0000-0000CA0C0000}"/>
    <cellStyle name="Header2 4 2 9 3" xfId="5947" xr:uid="{00000000-0005-0000-0000-0000CB0C0000}"/>
    <cellStyle name="Header2 4 2 9 4" xfId="5346" xr:uid="{00000000-0005-0000-0000-0000CC0C0000}"/>
    <cellStyle name="Header2 4 2 9 5" xfId="11724" xr:uid="{00000000-0005-0000-0000-0000CD0C0000}"/>
    <cellStyle name="Header2 4 3" xfId="1467" xr:uid="{00000000-0005-0000-0000-0000CE0C0000}"/>
    <cellStyle name="Header2 4 3 2" xfId="2952" xr:uid="{00000000-0005-0000-0000-0000CF0C0000}"/>
    <cellStyle name="Header2 4 3 2 2" xfId="6529" xr:uid="{00000000-0005-0000-0000-0000D00C0000}"/>
    <cellStyle name="Header2 4 3 2 3" xfId="9853" xr:uid="{00000000-0005-0000-0000-0000D10C0000}"/>
    <cellStyle name="Header2 4 3 2 4" xfId="11935" xr:uid="{00000000-0005-0000-0000-0000D20C0000}"/>
    <cellStyle name="Header2 4 3 3" xfId="5064" xr:uid="{00000000-0005-0000-0000-0000D30C0000}"/>
    <cellStyle name="Header2 4 3 4" xfId="7653" xr:uid="{00000000-0005-0000-0000-0000D40C0000}"/>
    <cellStyle name="Header2 4 3 5" xfId="10934" xr:uid="{00000000-0005-0000-0000-0000D50C0000}"/>
    <cellStyle name="Header2 4 4" xfId="1669" xr:uid="{00000000-0005-0000-0000-0000D60C0000}"/>
    <cellStyle name="Header2 4 4 2" xfId="3147" xr:uid="{00000000-0005-0000-0000-0000D70C0000}"/>
    <cellStyle name="Header2 4 4 2 2" xfId="8706" xr:uid="{00000000-0005-0000-0000-0000D80C0000}"/>
    <cellStyle name="Header2 4 5" xfId="1417" xr:uid="{00000000-0005-0000-0000-0000D90C0000}"/>
    <cellStyle name="Header2 4 5 2" xfId="2904" xr:uid="{00000000-0005-0000-0000-0000DA0C0000}"/>
    <cellStyle name="Header2 4 5 2 2" xfId="6482" xr:uid="{00000000-0005-0000-0000-0000DB0C0000}"/>
    <cellStyle name="Header2 4 5 2 3" xfId="9807" xr:uid="{00000000-0005-0000-0000-0000DC0C0000}"/>
    <cellStyle name="Header2 4 5 2 4" xfId="11929" xr:uid="{00000000-0005-0000-0000-0000DD0C0000}"/>
    <cellStyle name="Header2 4 5 3" xfId="5015" xr:uid="{00000000-0005-0000-0000-0000DE0C0000}"/>
    <cellStyle name="Header2 4 5 4" xfId="6343" xr:uid="{00000000-0005-0000-0000-0000DF0C0000}"/>
    <cellStyle name="Header2 4 5 5" xfId="10889" xr:uid="{00000000-0005-0000-0000-0000E00C0000}"/>
    <cellStyle name="Header2 4 6" xfId="4414" xr:uid="{00000000-0005-0000-0000-0000E10C0000}"/>
    <cellStyle name="Header2 4 7" xfId="4360" xr:uid="{00000000-0005-0000-0000-0000E20C0000}"/>
    <cellStyle name="Header2 4 8" xfId="4225" xr:uid="{00000000-0005-0000-0000-0000E30C0000}"/>
    <cellStyle name="Header2 5" xfId="790" xr:uid="{00000000-0005-0000-0000-0000E40C0000}"/>
    <cellStyle name="Header2 5 2" xfId="1173" xr:uid="{00000000-0005-0000-0000-0000E50C0000}"/>
    <cellStyle name="Header2 5 2 10" xfId="2429" xr:uid="{00000000-0005-0000-0000-0000E60C0000}"/>
    <cellStyle name="Header2 5 2 10 2" xfId="3884" xr:uid="{00000000-0005-0000-0000-0000E70C0000}"/>
    <cellStyle name="Header2 5 2 10 2 2" xfId="7454" xr:uid="{00000000-0005-0000-0000-0000E80C0000}"/>
    <cellStyle name="Header2 5 2 10 2 3" xfId="10711" xr:uid="{00000000-0005-0000-0000-0000E90C0000}"/>
    <cellStyle name="Header2 5 2 10 2 4" xfId="12022" xr:uid="{00000000-0005-0000-0000-0000EA0C0000}"/>
    <cellStyle name="Header2 5 2 10 3" xfId="6017" xr:uid="{00000000-0005-0000-0000-0000EB0C0000}"/>
    <cellStyle name="Header2 5 2 10 4" xfId="6351" xr:uid="{00000000-0005-0000-0000-0000EC0C0000}"/>
    <cellStyle name="Header2 5 2 10 5" xfId="11793" xr:uid="{00000000-0005-0000-0000-0000ED0C0000}"/>
    <cellStyle name="Header2 5 2 11" xfId="2234" xr:uid="{00000000-0005-0000-0000-0000EE0C0000}"/>
    <cellStyle name="Header2 5 2 11 2" xfId="5822" xr:uid="{00000000-0005-0000-0000-0000EF0C0000}"/>
    <cellStyle name="Header2 5 2 11 3" xfId="4024" xr:uid="{00000000-0005-0000-0000-0000F00C0000}"/>
    <cellStyle name="Header2 5 2 11 4" xfId="11600" xr:uid="{00000000-0005-0000-0000-0000F10C0000}"/>
    <cellStyle name="Header2 5 2 12" xfId="2688" xr:uid="{00000000-0005-0000-0000-0000F20C0000}"/>
    <cellStyle name="Header2 5 2 12 2" xfId="6271" xr:uid="{00000000-0005-0000-0000-0000F30C0000}"/>
    <cellStyle name="Header2 5 2 12 3" xfId="9623" xr:uid="{00000000-0005-0000-0000-0000F40C0000}"/>
    <cellStyle name="Header2 5 2 12 4" xfId="11913" xr:uid="{00000000-0005-0000-0000-0000F50C0000}"/>
    <cellStyle name="Header2 5 2 13" xfId="4772" xr:uid="{00000000-0005-0000-0000-0000F60C0000}"/>
    <cellStyle name="Header2 5 2 14" xfId="4184" xr:uid="{00000000-0005-0000-0000-0000F70C0000}"/>
    <cellStyle name="Header2 5 2 15" xfId="7964" xr:uid="{00000000-0005-0000-0000-0000F80C0000}"/>
    <cellStyle name="Header2 5 2 2" xfId="1720" xr:uid="{00000000-0005-0000-0000-0000F90C0000}"/>
    <cellStyle name="Header2 5 2 2 2" xfId="3197" xr:uid="{00000000-0005-0000-0000-0000FA0C0000}"/>
    <cellStyle name="Header2 5 2 2 2 2" xfId="6770" xr:uid="{00000000-0005-0000-0000-0000FB0C0000}"/>
    <cellStyle name="Header2 5 2 2 2 3" xfId="10050" xr:uid="{00000000-0005-0000-0000-0000FC0C0000}"/>
    <cellStyle name="Header2 5 2 2 2 4" xfId="11965" xr:uid="{00000000-0005-0000-0000-0000FD0C0000}"/>
    <cellStyle name="Header2 5 2 2 3" xfId="5312" xr:uid="{00000000-0005-0000-0000-0000FE0C0000}"/>
    <cellStyle name="Header2 5 2 2 4" xfId="4394" xr:uid="{00000000-0005-0000-0000-0000FF0C0000}"/>
    <cellStyle name="Header2 5 2 2 5" xfId="11127" xr:uid="{00000000-0005-0000-0000-0000000D0000}"/>
    <cellStyle name="Header2 5 2 3" xfId="1889" xr:uid="{00000000-0005-0000-0000-0000010D0000}"/>
    <cellStyle name="Header2 5 2 3 2" xfId="3353" xr:uid="{00000000-0005-0000-0000-0000020D0000}"/>
    <cellStyle name="Header2 5 2 3 2 2" xfId="6923" xr:uid="{00000000-0005-0000-0000-0000030D0000}"/>
    <cellStyle name="Header2 5 2 3 2 3" xfId="10180" xr:uid="{00000000-0005-0000-0000-0000040D0000}"/>
    <cellStyle name="Header2 5 2 3 2 4" xfId="11987" xr:uid="{00000000-0005-0000-0000-0000050D0000}"/>
    <cellStyle name="Header2 5 2 3 3" xfId="5477" xr:uid="{00000000-0005-0000-0000-0000060D0000}"/>
    <cellStyle name="Header2 5 2 3 4" xfId="8004" xr:uid="{00000000-0005-0000-0000-0000070D0000}"/>
    <cellStyle name="Header2 5 2 3 5" xfId="11258" xr:uid="{00000000-0005-0000-0000-0000080D0000}"/>
    <cellStyle name="Header2 5 2 4" xfId="1616" xr:uid="{00000000-0005-0000-0000-0000090D0000}"/>
    <cellStyle name="Header2 5 2 4 2" xfId="3099" xr:uid="{00000000-0005-0000-0000-00000A0D0000}"/>
    <cellStyle name="Header2 5 2 4 2 2" xfId="6676" xr:uid="{00000000-0005-0000-0000-00000B0D0000}"/>
    <cellStyle name="Header2 5 2 4 2 3" xfId="9980" xr:uid="{00000000-0005-0000-0000-00000C0D0000}"/>
    <cellStyle name="Header2 5 2 4 2 4" xfId="11954" xr:uid="{00000000-0005-0000-0000-00000D0D0000}"/>
    <cellStyle name="Header2 5 2 4 3" xfId="5213" xr:uid="{00000000-0005-0000-0000-00000E0D0000}"/>
    <cellStyle name="Header2 5 2 4 4" xfId="8529" xr:uid="{00000000-0005-0000-0000-00000F0D0000}"/>
    <cellStyle name="Header2 5 2 4 5" xfId="11062" xr:uid="{00000000-0005-0000-0000-0000100D0000}"/>
    <cellStyle name="Header2 5 2 5" xfId="1814" xr:uid="{00000000-0005-0000-0000-0000110D0000}"/>
    <cellStyle name="Header2 5 2 5 2" xfId="3291" xr:uid="{00000000-0005-0000-0000-0000120D0000}"/>
    <cellStyle name="Header2 5 2 5 2 2" xfId="6861" xr:uid="{00000000-0005-0000-0000-0000130D0000}"/>
    <cellStyle name="Header2 5 2 5 2 3" xfId="10122" xr:uid="{00000000-0005-0000-0000-0000140D0000}"/>
    <cellStyle name="Header2 5 2 5 2 4" xfId="11975" xr:uid="{00000000-0005-0000-0000-0000150D0000}"/>
    <cellStyle name="Header2 5 2 5 3" xfId="5403" xr:uid="{00000000-0005-0000-0000-0000160D0000}"/>
    <cellStyle name="Header2 5 2 5 4" xfId="6381" xr:uid="{00000000-0005-0000-0000-0000170D0000}"/>
    <cellStyle name="Header2 5 2 5 5" xfId="11199" xr:uid="{00000000-0005-0000-0000-0000180D0000}"/>
    <cellStyle name="Header2 5 2 6" xfId="1819" xr:uid="{00000000-0005-0000-0000-0000190D0000}"/>
    <cellStyle name="Header2 5 2 6 2" xfId="3296" xr:uid="{00000000-0005-0000-0000-00001A0D0000}"/>
    <cellStyle name="Header2 5 2 6 2 2" xfId="6866" xr:uid="{00000000-0005-0000-0000-00001B0D0000}"/>
    <cellStyle name="Header2 5 2 6 2 3" xfId="10127" xr:uid="{00000000-0005-0000-0000-00001C0D0000}"/>
    <cellStyle name="Header2 5 2 6 2 4" xfId="11980" xr:uid="{00000000-0005-0000-0000-00001D0D0000}"/>
    <cellStyle name="Header2 5 2 6 3" xfId="5408" xr:uid="{00000000-0005-0000-0000-00001E0D0000}"/>
    <cellStyle name="Header2 5 2 6 4" xfId="8738" xr:uid="{00000000-0005-0000-0000-00001F0D0000}"/>
    <cellStyle name="Header2 5 2 6 5" xfId="11204" xr:uid="{00000000-0005-0000-0000-0000200D0000}"/>
    <cellStyle name="Header2 5 2 7" xfId="1332" xr:uid="{00000000-0005-0000-0000-0000210D0000}"/>
    <cellStyle name="Header2 5 2 7 2" xfId="2830" xr:uid="{00000000-0005-0000-0000-0000220D0000}"/>
    <cellStyle name="Header2 5 2 7 2 2" xfId="6409" xr:uid="{00000000-0005-0000-0000-0000230D0000}"/>
    <cellStyle name="Header2 5 2 7 2 3" xfId="9735" xr:uid="{00000000-0005-0000-0000-0000240D0000}"/>
    <cellStyle name="Header2 5 2 7 2 4" xfId="11922" xr:uid="{00000000-0005-0000-0000-0000250D0000}"/>
    <cellStyle name="Header2 5 2 7 3" xfId="4930" xr:uid="{00000000-0005-0000-0000-0000260D0000}"/>
    <cellStyle name="Header2 5 2 7 4" xfId="7815" xr:uid="{00000000-0005-0000-0000-0000270D0000}"/>
    <cellStyle name="Header2 5 2 7 5" xfId="4234" xr:uid="{00000000-0005-0000-0000-0000280D0000}"/>
    <cellStyle name="Header2 5 2 8" xfId="2268" xr:uid="{00000000-0005-0000-0000-0000290D0000}"/>
    <cellStyle name="Header2 5 2 8 2" xfId="3725" xr:uid="{00000000-0005-0000-0000-00002A0D0000}"/>
    <cellStyle name="Header2 5 2 8 2 2" xfId="7295" xr:uid="{00000000-0005-0000-0000-00002B0D0000}"/>
    <cellStyle name="Header2 5 2 8 2 3" xfId="10552" xr:uid="{00000000-0005-0000-0000-00002C0D0000}"/>
    <cellStyle name="Header2 5 2 8 2 4" xfId="12002" xr:uid="{00000000-0005-0000-0000-00002D0D0000}"/>
    <cellStyle name="Header2 5 2 8 3" xfId="5856" xr:uid="{00000000-0005-0000-0000-00002E0D0000}"/>
    <cellStyle name="Header2 5 2 8 4" xfId="6140" xr:uid="{00000000-0005-0000-0000-00002F0D0000}"/>
    <cellStyle name="Header2 5 2 8 5" xfId="11634" xr:uid="{00000000-0005-0000-0000-0000300D0000}"/>
    <cellStyle name="Header2 5 2 9" xfId="2360" xr:uid="{00000000-0005-0000-0000-0000310D0000}"/>
    <cellStyle name="Header2 5 2 9 2" xfId="3816" xr:uid="{00000000-0005-0000-0000-0000320D0000}"/>
    <cellStyle name="Header2 5 2 9 2 2" xfId="7386" xr:uid="{00000000-0005-0000-0000-0000330D0000}"/>
    <cellStyle name="Header2 5 2 9 2 3" xfId="10643" xr:uid="{00000000-0005-0000-0000-0000340D0000}"/>
    <cellStyle name="Header2 5 2 9 2 4" xfId="12012" xr:uid="{00000000-0005-0000-0000-0000350D0000}"/>
    <cellStyle name="Header2 5 2 9 3" xfId="5948" xr:uid="{00000000-0005-0000-0000-0000360D0000}"/>
    <cellStyle name="Header2 5 2 9 4" xfId="6804" xr:uid="{00000000-0005-0000-0000-0000370D0000}"/>
    <cellStyle name="Header2 5 2 9 5" xfId="11725" xr:uid="{00000000-0005-0000-0000-0000380D0000}"/>
    <cellStyle name="Header2 5 3" xfId="1468" xr:uid="{00000000-0005-0000-0000-0000390D0000}"/>
    <cellStyle name="Header2 5 3 2" xfId="2953" xr:uid="{00000000-0005-0000-0000-00003A0D0000}"/>
    <cellStyle name="Header2 5 3 2 2" xfId="6530" xr:uid="{00000000-0005-0000-0000-00003B0D0000}"/>
    <cellStyle name="Header2 5 3 2 3" xfId="9854" xr:uid="{00000000-0005-0000-0000-00003C0D0000}"/>
    <cellStyle name="Header2 5 3 2 4" xfId="11936" xr:uid="{00000000-0005-0000-0000-00003D0D0000}"/>
    <cellStyle name="Header2 5 3 3" xfId="5065" xr:uid="{00000000-0005-0000-0000-00003E0D0000}"/>
    <cellStyle name="Header2 5 3 4" xfId="9351" xr:uid="{00000000-0005-0000-0000-00003F0D0000}"/>
    <cellStyle name="Header2 5 3 5" xfId="10935" xr:uid="{00000000-0005-0000-0000-0000400D0000}"/>
    <cellStyle name="Header2 5 4" xfId="1408" xr:uid="{00000000-0005-0000-0000-0000410D0000}"/>
    <cellStyle name="Header2 5 4 2" xfId="2898" xr:uid="{00000000-0005-0000-0000-0000420D0000}"/>
    <cellStyle name="Header2 5 4 2 2" xfId="8478" xr:uid="{00000000-0005-0000-0000-0000430D0000}"/>
    <cellStyle name="Header2 5 5" xfId="1563" xr:uid="{00000000-0005-0000-0000-0000440D0000}"/>
    <cellStyle name="Header2 5 5 2" xfId="3046" xr:uid="{00000000-0005-0000-0000-0000450D0000}"/>
    <cellStyle name="Header2 5 5 2 2" xfId="6623" xr:uid="{00000000-0005-0000-0000-0000460D0000}"/>
    <cellStyle name="Header2 5 5 2 3" xfId="9930" xr:uid="{00000000-0005-0000-0000-0000470D0000}"/>
    <cellStyle name="Header2 5 5 2 4" xfId="11949" xr:uid="{00000000-0005-0000-0000-0000480D0000}"/>
    <cellStyle name="Header2 5 5 3" xfId="5160" xr:uid="{00000000-0005-0000-0000-0000490D0000}"/>
    <cellStyle name="Header2 5 5 4" xfId="8484" xr:uid="{00000000-0005-0000-0000-00004A0D0000}"/>
    <cellStyle name="Header2 5 5 5" xfId="11012" xr:uid="{00000000-0005-0000-0000-00004B0D0000}"/>
    <cellStyle name="Header2 5 6" xfId="4415" xr:uid="{00000000-0005-0000-0000-00004C0D0000}"/>
    <cellStyle name="Header2 5 7" xfId="4359" xr:uid="{00000000-0005-0000-0000-00004D0D0000}"/>
    <cellStyle name="Header2 5 8" xfId="8255" xr:uid="{00000000-0005-0000-0000-00004E0D0000}"/>
    <cellStyle name="Header2 6" xfId="791" xr:uid="{00000000-0005-0000-0000-00004F0D0000}"/>
    <cellStyle name="Header2 6 2" xfId="1174" xr:uid="{00000000-0005-0000-0000-0000500D0000}"/>
    <cellStyle name="Header2 6 2 10" xfId="2430" xr:uid="{00000000-0005-0000-0000-0000510D0000}"/>
    <cellStyle name="Header2 6 2 10 2" xfId="3885" xr:uid="{00000000-0005-0000-0000-0000520D0000}"/>
    <cellStyle name="Header2 6 2 10 2 2" xfId="7455" xr:uid="{00000000-0005-0000-0000-0000530D0000}"/>
    <cellStyle name="Header2 6 2 10 2 3" xfId="10712" xr:uid="{00000000-0005-0000-0000-0000540D0000}"/>
    <cellStyle name="Header2 6 2 10 2 4" xfId="12023" xr:uid="{00000000-0005-0000-0000-0000550D0000}"/>
    <cellStyle name="Header2 6 2 10 3" xfId="6018" xr:uid="{00000000-0005-0000-0000-0000560D0000}"/>
    <cellStyle name="Header2 6 2 10 4" xfId="5266" xr:uid="{00000000-0005-0000-0000-0000570D0000}"/>
    <cellStyle name="Header2 6 2 10 5" xfId="11794" xr:uid="{00000000-0005-0000-0000-0000580D0000}"/>
    <cellStyle name="Header2 6 2 11" xfId="2026" xr:uid="{00000000-0005-0000-0000-0000590D0000}"/>
    <cellStyle name="Header2 6 2 11 2" xfId="5614" xr:uid="{00000000-0005-0000-0000-00005A0D0000}"/>
    <cellStyle name="Header2 6 2 11 3" xfId="7760" xr:uid="{00000000-0005-0000-0000-00005B0D0000}"/>
    <cellStyle name="Header2 6 2 11 4" xfId="11394" xr:uid="{00000000-0005-0000-0000-00005C0D0000}"/>
    <cellStyle name="Header2 6 2 12" xfId="2689" xr:uid="{00000000-0005-0000-0000-00005D0D0000}"/>
    <cellStyle name="Header2 6 2 12 2" xfId="6272" xr:uid="{00000000-0005-0000-0000-00005E0D0000}"/>
    <cellStyle name="Header2 6 2 12 3" xfId="9624" xr:uid="{00000000-0005-0000-0000-00005F0D0000}"/>
    <cellStyle name="Header2 6 2 12 4" xfId="11914" xr:uid="{00000000-0005-0000-0000-0000600D0000}"/>
    <cellStyle name="Header2 6 2 13" xfId="4773" xr:uid="{00000000-0005-0000-0000-0000610D0000}"/>
    <cellStyle name="Header2 6 2 14" xfId="4183" xr:uid="{00000000-0005-0000-0000-0000620D0000}"/>
    <cellStyle name="Header2 6 2 15" xfId="7943" xr:uid="{00000000-0005-0000-0000-0000630D0000}"/>
    <cellStyle name="Header2 6 2 2" xfId="1721" xr:uid="{00000000-0005-0000-0000-0000640D0000}"/>
    <cellStyle name="Header2 6 2 2 2" xfId="3198" xr:uid="{00000000-0005-0000-0000-0000650D0000}"/>
    <cellStyle name="Header2 6 2 2 2 2" xfId="6771" xr:uid="{00000000-0005-0000-0000-0000660D0000}"/>
    <cellStyle name="Header2 6 2 2 2 3" xfId="10051" xr:uid="{00000000-0005-0000-0000-0000670D0000}"/>
    <cellStyle name="Header2 6 2 2 2 4" xfId="11966" xr:uid="{00000000-0005-0000-0000-0000680D0000}"/>
    <cellStyle name="Header2 6 2 2 3" xfId="5313" xr:uid="{00000000-0005-0000-0000-0000690D0000}"/>
    <cellStyle name="Header2 6 2 2 4" xfId="4395" xr:uid="{00000000-0005-0000-0000-00006A0D0000}"/>
    <cellStyle name="Header2 6 2 2 5" xfId="11128" xr:uid="{00000000-0005-0000-0000-00006B0D0000}"/>
    <cellStyle name="Header2 6 2 3" xfId="1890" xr:uid="{00000000-0005-0000-0000-00006C0D0000}"/>
    <cellStyle name="Header2 6 2 3 2" xfId="3354" xr:uid="{00000000-0005-0000-0000-00006D0D0000}"/>
    <cellStyle name="Header2 6 2 3 2 2" xfId="6924" xr:uid="{00000000-0005-0000-0000-00006E0D0000}"/>
    <cellStyle name="Header2 6 2 3 2 3" xfId="10181" xr:uid="{00000000-0005-0000-0000-00006F0D0000}"/>
    <cellStyle name="Header2 6 2 3 2 4" xfId="11988" xr:uid="{00000000-0005-0000-0000-0000700D0000}"/>
    <cellStyle name="Header2 6 2 3 3" xfId="5478" xr:uid="{00000000-0005-0000-0000-0000710D0000}"/>
    <cellStyle name="Header2 6 2 3 4" xfId="7756" xr:uid="{00000000-0005-0000-0000-0000720D0000}"/>
    <cellStyle name="Header2 6 2 3 5" xfId="11259" xr:uid="{00000000-0005-0000-0000-0000730D0000}"/>
    <cellStyle name="Header2 6 2 4" xfId="1617" xr:uid="{00000000-0005-0000-0000-0000740D0000}"/>
    <cellStyle name="Header2 6 2 4 2" xfId="3100" xr:uid="{00000000-0005-0000-0000-0000750D0000}"/>
    <cellStyle name="Header2 6 2 4 2 2" xfId="6677" xr:uid="{00000000-0005-0000-0000-0000760D0000}"/>
    <cellStyle name="Header2 6 2 4 2 3" xfId="9981" xr:uid="{00000000-0005-0000-0000-0000770D0000}"/>
    <cellStyle name="Header2 6 2 4 2 4" xfId="11955" xr:uid="{00000000-0005-0000-0000-0000780D0000}"/>
    <cellStyle name="Header2 6 2 4 3" xfId="5214" xr:uid="{00000000-0005-0000-0000-0000790D0000}"/>
    <cellStyle name="Header2 6 2 4 4" xfId="7648" xr:uid="{00000000-0005-0000-0000-00007A0D0000}"/>
    <cellStyle name="Header2 6 2 4 5" xfId="11063" xr:uid="{00000000-0005-0000-0000-00007B0D0000}"/>
    <cellStyle name="Header2 6 2 5" xfId="1815" xr:uid="{00000000-0005-0000-0000-00007C0D0000}"/>
    <cellStyle name="Header2 6 2 5 2" xfId="3292" xr:uid="{00000000-0005-0000-0000-00007D0D0000}"/>
    <cellStyle name="Header2 6 2 5 2 2" xfId="6862" xr:uid="{00000000-0005-0000-0000-00007E0D0000}"/>
    <cellStyle name="Header2 6 2 5 2 3" xfId="10123" xr:uid="{00000000-0005-0000-0000-00007F0D0000}"/>
    <cellStyle name="Header2 6 2 5 2 4" xfId="11976" xr:uid="{00000000-0005-0000-0000-0000800D0000}"/>
    <cellStyle name="Header2 6 2 5 3" xfId="5404" xr:uid="{00000000-0005-0000-0000-0000810D0000}"/>
    <cellStyle name="Header2 6 2 5 4" xfId="8187" xr:uid="{00000000-0005-0000-0000-0000820D0000}"/>
    <cellStyle name="Header2 6 2 5 5" xfId="11200" xr:uid="{00000000-0005-0000-0000-0000830D0000}"/>
    <cellStyle name="Header2 6 2 6" xfId="1561" xr:uid="{00000000-0005-0000-0000-0000840D0000}"/>
    <cellStyle name="Header2 6 2 6 2" xfId="3045" xr:uid="{00000000-0005-0000-0000-0000850D0000}"/>
    <cellStyle name="Header2 6 2 6 2 2" xfId="6622" xr:uid="{00000000-0005-0000-0000-0000860D0000}"/>
    <cellStyle name="Header2 6 2 6 2 3" xfId="9929" xr:uid="{00000000-0005-0000-0000-0000870D0000}"/>
    <cellStyle name="Header2 6 2 6 2 4" xfId="11948" xr:uid="{00000000-0005-0000-0000-0000880D0000}"/>
    <cellStyle name="Header2 6 2 6 3" xfId="5158" xr:uid="{00000000-0005-0000-0000-0000890D0000}"/>
    <cellStyle name="Header2 6 2 6 4" xfId="9415" xr:uid="{00000000-0005-0000-0000-00008A0D0000}"/>
    <cellStyle name="Header2 6 2 6 5" xfId="11011" xr:uid="{00000000-0005-0000-0000-00008B0D0000}"/>
    <cellStyle name="Header2 6 2 7" xfId="1331" xr:uid="{00000000-0005-0000-0000-00008C0D0000}"/>
    <cellStyle name="Header2 6 2 7 2" xfId="2829" xr:uid="{00000000-0005-0000-0000-00008D0D0000}"/>
    <cellStyle name="Header2 6 2 7 2 2" xfId="6408" xr:uid="{00000000-0005-0000-0000-00008E0D0000}"/>
    <cellStyle name="Header2 6 2 7 2 3" xfId="9734" xr:uid="{00000000-0005-0000-0000-00008F0D0000}"/>
    <cellStyle name="Header2 6 2 7 2 4" xfId="11921" xr:uid="{00000000-0005-0000-0000-0000900D0000}"/>
    <cellStyle name="Header2 6 2 7 3" xfId="4929" xr:uid="{00000000-0005-0000-0000-0000910D0000}"/>
    <cellStyle name="Header2 6 2 7 4" xfId="7912" xr:uid="{00000000-0005-0000-0000-0000920D0000}"/>
    <cellStyle name="Header2 6 2 7 5" xfId="8249" xr:uid="{00000000-0005-0000-0000-0000930D0000}"/>
    <cellStyle name="Header2 6 2 8" xfId="2269" xr:uid="{00000000-0005-0000-0000-0000940D0000}"/>
    <cellStyle name="Header2 6 2 8 2" xfId="3726" xr:uid="{00000000-0005-0000-0000-0000950D0000}"/>
    <cellStyle name="Header2 6 2 8 2 2" xfId="7296" xr:uid="{00000000-0005-0000-0000-0000960D0000}"/>
    <cellStyle name="Header2 6 2 8 2 3" xfId="10553" xr:uid="{00000000-0005-0000-0000-0000970D0000}"/>
    <cellStyle name="Header2 6 2 8 2 4" xfId="12003" xr:uid="{00000000-0005-0000-0000-0000980D0000}"/>
    <cellStyle name="Header2 6 2 8 3" xfId="5857" xr:uid="{00000000-0005-0000-0000-0000990D0000}"/>
    <cellStyle name="Header2 6 2 8 4" xfId="4051" xr:uid="{00000000-0005-0000-0000-00009A0D0000}"/>
    <cellStyle name="Header2 6 2 8 5" xfId="11635" xr:uid="{00000000-0005-0000-0000-00009B0D0000}"/>
    <cellStyle name="Header2 6 2 9" xfId="2361" xr:uid="{00000000-0005-0000-0000-00009C0D0000}"/>
    <cellStyle name="Header2 6 2 9 2" xfId="3817" xr:uid="{00000000-0005-0000-0000-00009D0D0000}"/>
    <cellStyle name="Header2 6 2 9 2 2" xfId="7387" xr:uid="{00000000-0005-0000-0000-00009E0D0000}"/>
    <cellStyle name="Header2 6 2 9 2 3" xfId="10644" xr:uid="{00000000-0005-0000-0000-00009F0D0000}"/>
    <cellStyle name="Header2 6 2 9 2 4" xfId="12013" xr:uid="{00000000-0005-0000-0000-0000A00D0000}"/>
    <cellStyle name="Header2 6 2 9 3" xfId="5949" xr:uid="{00000000-0005-0000-0000-0000A10D0000}"/>
    <cellStyle name="Header2 6 2 9 4" xfId="6302" xr:uid="{00000000-0005-0000-0000-0000A20D0000}"/>
    <cellStyle name="Header2 6 2 9 5" xfId="11726" xr:uid="{00000000-0005-0000-0000-0000A30D0000}"/>
    <cellStyle name="Header2 6 3" xfId="1469" xr:uid="{00000000-0005-0000-0000-0000A40D0000}"/>
    <cellStyle name="Header2 6 3 2" xfId="2954" xr:uid="{00000000-0005-0000-0000-0000A50D0000}"/>
    <cellStyle name="Header2 6 3 2 2" xfId="6531" xr:uid="{00000000-0005-0000-0000-0000A60D0000}"/>
    <cellStyle name="Header2 6 3 2 3" xfId="9855" xr:uid="{00000000-0005-0000-0000-0000A70D0000}"/>
    <cellStyle name="Header2 6 3 2 4" xfId="11937" xr:uid="{00000000-0005-0000-0000-0000A80D0000}"/>
    <cellStyle name="Header2 6 3 3" xfId="5066" xr:uid="{00000000-0005-0000-0000-0000A90D0000}"/>
    <cellStyle name="Header2 6 3 4" xfId="8081" xr:uid="{00000000-0005-0000-0000-0000AA0D0000}"/>
    <cellStyle name="Header2 6 3 5" xfId="10936" xr:uid="{00000000-0005-0000-0000-0000AB0D0000}"/>
    <cellStyle name="Header2 6 4" xfId="1881" xr:uid="{00000000-0005-0000-0000-0000AC0D0000}"/>
    <cellStyle name="Header2 6 4 2" xfId="3348" xr:uid="{00000000-0005-0000-0000-0000AD0D0000}"/>
    <cellStyle name="Header2 6 4 2 2" xfId="8886" xr:uid="{00000000-0005-0000-0000-0000AE0D0000}"/>
    <cellStyle name="Header2 6 5" xfId="1418" xr:uid="{00000000-0005-0000-0000-0000AF0D0000}"/>
    <cellStyle name="Header2 6 5 2" xfId="2905" xr:uid="{00000000-0005-0000-0000-0000B00D0000}"/>
    <cellStyle name="Header2 6 5 2 2" xfId="6483" xr:uid="{00000000-0005-0000-0000-0000B10D0000}"/>
    <cellStyle name="Header2 6 5 2 3" xfId="9808" xr:uid="{00000000-0005-0000-0000-0000B20D0000}"/>
    <cellStyle name="Header2 6 5 2 4" xfId="11930" xr:uid="{00000000-0005-0000-0000-0000B30D0000}"/>
    <cellStyle name="Header2 6 5 3" xfId="5016" xr:uid="{00000000-0005-0000-0000-0000B40D0000}"/>
    <cellStyle name="Header2 6 5 4" xfId="5256" xr:uid="{00000000-0005-0000-0000-0000B50D0000}"/>
    <cellStyle name="Header2 6 5 5" xfId="10890" xr:uid="{00000000-0005-0000-0000-0000B60D0000}"/>
    <cellStyle name="Header2 6 6" xfId="4416" xr:uid="{00000000-0005-0000-0000-0000B70D0000}"/>
    <cellStyle name="Header2 6 7" xfId="4358" xr:uid="{00000000-0005-0000-0000-0000B80D0000}"/>
    <cellStyle name="Header2 6 8" xfId="8708" xr:uid="{00000000-0005-0000-0000-0000B90D0000}"/>
    <cellStyle name="Header2 7" xfId="792" xr:uid="{00000000-0005-0000-0000-0000BA0D0000}"/>
    <cellStyle name="Header2 7 2" xfId="1175" xr:uid="{00000000-0005-0000-0000-0000BB0D0000}"/>
    <cellStyle name="Header2 7 2 10" xfId="2431" xr:uid="{00000000-0005-0000-0000-0000BC0D0000}"/>
    <cellStyle name="Header2 7 2 10 2" xfId="3886" xr:uid="{00000000-0005-0000-0000-0000BD0D0000}"/>
    <cellStyle name="Header2 7 2 10 2 2" xfId="7456" xr:uid="{00000000-0005-0000-0000-0000BE0D0000}"/>
    <cellStyle name="Header2 7 2 10 2 3" xfId="10713" xr:uid="{00000000-0005-0000-0000-0000BF0D0000}"/>
    <cellStyle name="Header2 7 2 10 2 4" xfId="12024" xr:uid="{00000000-0005-0000-0000-0000C00D0000}"/>
    <cellStyle name="Header2 7 2 10 3" xfId="6019" xr:uid="{00000000-0005-0000-0000-0000C10D0000}"/>
    <cellStyle name="Header2 7 2 10 4" xfId="6726" xr:uid="{00000000-0005-0000-0000-0000C20D0000}"/>
    <cellStyle name="Header2 7 2 10 5" xfId="11795" xr:uid="{00000000-0005-0000-0000-0000C30D0000}"/>
    <cellStyle name="Header2 7 2 11" xfId="2235" xr:uid="{00000000-0005-0000-0000-0000C40D0000}"/>
    <cellStyle name="Header2 7 2 11 2" xfId="5823" xr:uid="{00000000-0005-0000-0000-0000C50D0000}"/>
    <cellStyle name="Header2 7 2 11 3" xfId="4529" xr:uid="{00000000-0005-0000-0000-0000C60D0000}"/>
    <cellStyle name="Header2 7 2 11 4" xfId="11601" xr:uid="{00000000-0005-0000-0000-0000C70D0000}"/>
    <cellStyle name="Header2 7 2 12" xfId="2690" xr:uid="{00000000-0005-0000-0000-0000C80D0000}"/>
    <cellStyle name="Header2 7 2 12 2" xfId="6273" xr:uid="{00000000-0005-0000-0000-0000C90D0000}"/>
    <cellStyle name="Header2 7 2 12 3" xfId="9625" xr:uid="{00000000-0005-0000-0000-0000CA0D0000}"/>
    <cellStyle name="Header2 7 2 12 4" xfId="11915" xr:uid="{00000000-0005-0000-0000-0000CB0D0000}"/>
    <cellStyle name="Header2 7 2 13" xfId="4774" xr:uid="{00000000-0005-0000-0000-0000CC0D0000}"/>
    <cellStyle name="Header2 7 2 14" xfId="4182" xr:uid="{00000000-0005-0000-0000-0000CD0D0000}"/>
    <cellStyle name="Header2 7 2 15" xfId="7918" xr:uid="{00000000-0005-0000-0000-0000CE0D0000}"/>
    <cellStyle name="Header2 7 2 2" xfId="1722" xr:uid="{00000000-0005-0000-0000-0000CF0D0000}"/>
    <cellStyle name="Header2 7 2 2 2" xfId="3199" xr:uid="{00000000-0005-0000-0000-0000D00D0000}"/>
    <cellStyle name="Header2 7 2 2 2 2" xfId="6772" xr:uid="{00000000-0005-0000-0000-0000D10D0000}"/>
    <cellStyle name="Header2 7 2 2 2 3" xfId="10052" xr:uid="{00000000-0005-0000-0000-0000D20D0000}"/>
    <cellStyle name="Header2 7 2 2 2 4" xfId="11967" xr:uid="{00000000-0005-0000-0000-0000D30D0000}"/>
    <cellStyle name="Header2 7 2 2 3" xfId="5314" xr:uid="{00000000-0005-0000-0000-0000D40D0000}"/>
    <cellStyle name="Header2 7 2 2 4" xfId="4396" xr:uid="{00000000-0005-0000-0000-0000D50D0000}"/>
    <cellStyle name="Header2 7 2 2 5" xfId="11129" xr:uid="{00000000-0005-0000-0000-0000D60D0000}"/>
    <cellStyle name="Header2 7 2 3" xfId="1891" xr:uid="{00000000-0005-0000-0000-0000D70D0000}"/>
    <cellStyle name="Header2 7 2 3 2" xfId="3355" xr:uid="{00000000-0005-0000-0000-0000D80D0000}"/>
    <cellStyle name="Header2 7 2 3 2 2" xfId="6925" xr:uid="{00000000-0005-0000-0000-0000D90D0000}"/>
    <cellStyle name="Header2 7 2 3 2 3" xfId="10182" xr:uid="{00000000-0005-0000-0000-0000DA0D0000}"/>
    <cellStyle name="Header2 7 2 3 2 4" xfId="11989" xr:uid="{00000000-0005-0000-0000-0000DB0D0000}"/>
    <cellStyle name="Header2 7 2 3 3" xfId="5479" xr:uid="{00000000-0005-0000-0000-0000DC0D0000}"/>
    <cellStyle name="Header2 7 2 3 4" xfId="7644" xr:uid="{00000000-0005-0000-0000-0000DD0D0000}"/>
    <cellStyle name="Header2 7 2 3 5" xfId="11260" xr:uid="{00000000-0005-0000-0000-0000DE0D0000}"/>
    <cellStyle name="Header2 7 2 4" xfId="1618" xr:uid="{00000000-0005-0000-0000-0000DF0D0000}"/>
    <cellStyle name="Header2 7 2 4 2" xfId="3101" xr:uid="{00000000-0005-0000-0000-0000E00D0000}"/>
    <cellStyle name="Header2 7 2 4 2 2" xfId="6678" xr:uid="{00000000-0005-0000-0000-0000E10D0000}"/>
    <cellStyle name="Header2 7 2 4 2 3" xfId="9982" xr:uid="{00000000-0005-0000-0000-0000E20D0000}"/>
    <cellStyle name="Header2 7 2 4 2 4" xfId="11956" xr:uid="{00000000-0005-0000-0000-0000E30D0000}"/>
    <cellStyle name="Header2 7 2 4 3" xfId="5215" xr:uid="{00000000-0005-0000-0000-0000E40D0000}"/>
    <cellStyle name="Header2 7 2 4 4" xfId="9346" xr:uid="{00000000-0005-0000-0000-0000E50D0000}"/>
    <cellStyle name="Header2 7 2 4 5" xfId="11064" xr:uid="{00000000-0005-0000-0000-0000E60D0000}"/>
    <cellStyle name="Header2 7 2 5" xfId="1816" xr:uid="{00000000-0005-0000-0000-0000E70D0000}"/>
    <cellStyle name="Header2 7 2 5 2" xfId="3293" xr:uid="{00000000-0005-0000-0000-0000E80D0000}"/>
    <cellStyle name="Header2 7 2 5 2 2" xfId="6863" xr:uid="{00000000-0005-0000-0000-0000E90D0000}"/>
    <cellStyle name="Header2 7 2 5 2 3" xfId="10124" xr:uid="{00000000-0005-0000-0000-0000EA0D0000}"/>
    <cellStyle name="Header2 7 2 5 2 4" xfId="11977" xr:uid="{00000000-0005-0000-0000-0000EB0D0000}"/>
    <cellStyle name="Header2 7 2 5 3" xfId="5405" xr:uid="{00000000-0005-0000-0000-0000EC0D0000}"/>
    <cellStyle name="Header2 7 2 5 4" xfId="8514" xr:uid="{00000000-0005-0000-0000-0000ED0D0000}"/>
    <cellStyle name="Header2 7 2 5 5" xfId="11201" xr:uid="{00000000-0005-0000-0000-0000EE0D0000}"/>
    <cellStyle name="Header2 7 2 6" xfId="2030" xr:uid="{00000000-0005-0000-0000-0000EF0D0000}"/>
    <cellStyle name="Header2 7 2 6 2" xfId="3491" xr:uid="{00000000-0005-0000-0000-0000F00D0000}"/>
    <cellStyle name="Header2 7 2 6 2 2" xfId="7061" xr:uid="{00000000-0005-0000-0000-0000F10D0000}"/>
    <cellStyle name="Header2 7 2 6 2 3" xfId="10318" xr:uid="{00000000-0005-0000-0000-0000F20D0000}"/>
    <cellStyle name="Header2 7 2 6 2 4" xfId="11996" xr:uid="{00000000-0005-0000-0000-0000F30D0000}"/>
    <cellStyle name="Header2 7 2 6 3" xfId="5618" xr:uid="{00000000-0005-0000-0000-0000F40D0000}"/>
    <cellStyle name="Header2 7 2 6 4" xfId="7884" xr:uid="{00000000-0005-0000-0000-0000F50D0000}"/>
    <cellStyle name="Header2 7 2 6 5" xfId="11397" xr:uid="{00000000-0005-0000-0000-0000F60D0000}"/>
    <cellStyle name="Header2 7 2 7" xfId="1919" xr:uid="{00000000-0005-0000-0000-0000F70D0000}"/>
    <cellStyle name="Header2 7 2 7 2" xfId="3383" xr:uid="{00000000-0005-0000-0000-0000F80D0000}"/>
    <cellStyle name="Header2 7 2 7 2 2" xfId="6953" xr:uid="{00000000-0005-0000-0000-0000F90D0000}"/>
    <cellStyle name="Header2 7 2 7 2 3" xfId="10210" xr:uid="{00000000-0005-0000-0000-0000FA0D0000}"/>
    <cellStyle name="Header2 7 2 7 2 4" xfId="11994" xr:uid="{00000000-0005-0000-0000-0000FB0D0000}"/>
    <cellStyle name="Header2 7 2 7 3" xfId="5507" xr:uid="{00000000-0005-0000-0000-0000FC0D0000}"/>
    <cellStyle name="Header2 7 2 7 4" xfId="7627" xr:uid="{00000000-0005-0000-0000-0000FD0D0000}"/>
    <cellStyle name="Header2 7 2 7 5" xfId="11288" xr:uid="{00000000-0005-0000-0000-0000FE0D0000}"/>
    <cellStyle name="Header2 7 2 8" xfId="2270" xr:uid="{00000000-0005-0000-0000-0000FF0D0000}"/>
    <cellStyle name="Header2 7 2 8 2" xfId="3727" xr:uid="{00000000-0005-0000-0000-0000000E0000}"/>
    <cellStyle name="Header2 7 2 8 2 2" xfId="7297" xr:uid="{00000000-0005-0000-0000-0000010E0000}"/>
    <cellStyle name="Header2 7 2 8 2 3" xfId="10554" xr:uid="{00000000-0005-0000-0000-0000020E0000}"/>
    <cellStyle name="Header2 7 2 8 2 4" xfId="12004" xr:uid="{00000000-0005-0000-0000-0000030E0000}"/>
    <cellStyle name="Header2 7 2 8 3" xfId="5858" xr:uid="{00000000-0005-0000-0000-0000040E0000}"/>
    <cellStyle name="Header2 7 2 8 4" xfId="4712" xr:uid="{00000000-0005-0000-0000-0000050E0000}"/>
    <cellStyle name="Header2 7 2 8 5" xfId="11636" xr:uid="{00000000-0005-0000-0000-0000060E0000}"/>
    <cellStyle name="Header2 7 2 9" xfId="2362" xr:uid="{00000000-0005-0000-0000-0000070E0000}"/>
    <cellStyle name="Header2 7 2 9 2" xfId="3818" xr:uid="{00000000-0005-0000-0000-0000080E0000}"/>
    <cellStyle name="Header2 7 2 9 2 2" xfId="7388" xr:uid="{00000000-0005-0000-0000-0000090E0000}"/>
    <cellStyle name="Header2 7 2 9 2 3" xfId="10645" xr:uid="{00000000-0005-0000-0000-00000A0E0000}"/>
    <cellStyle name="Header2 7 2 9 2 4" xfId="12014" xr:uid="{00000000-0005-0000-0000-00000B0E0000}"/>
    <cellStyle name="Header2 7 2 9 3" xfId="5950" xr:uid="{00000000-0005-0000-0000-00000C0E0000}"/>
    <cellStyle name="Header2 7 2 9 4" xfId="5168" xr:uid="{00000000-0005-0000-0000-00000D0E0000}"/>
    <cellStyle name="Header2 7 2 9 5" xfId="11727" xr:uid="{00000000-0005-0000-0000-00000E0E0000}"/>
    <cellStyle name="Header2 7 3" xfId="1470" xr:uid="{00000000-0005-0000-0000-00000F0E0000}"/>
    <cellStyle name="Header2 7 3 2" xfId="2955" xr:uid="{00000000-0005-0000-0000-0000100E0000}"/>
    <cellStyle name="Header2 7 3 2 2" xfId="6532" xr:uid="{00000000-0005-0000-0000-0000110E0000}"/>
    <cellStyle name="Header2 7 3 2 3" xfId="9856" xr:uid="{00000000-0005-0000-0000-0000120E0000}"/>
    <cellStyle name="Header2 7 3 2 4" xfId="11938" xr:uid="{00000000-0005-0000-0000-0000130E0000}"/>
    <cellStyle name="Header2 7 3 3" xfId="5067" xr:uid="{00000000-0005-0000-0000-0000140E0000}"/>
    <cellStyle name="Header2 7 3 4" xfId="9261" xr:uid="{00000000-0005-0000-0000-0000150E0000}"/>
    <cellStyle name="Header2 7 3 5" xfId="10937" xr:uid="{00000000-0005-0000-0000-0000160E0000}"/>
    <cellStyle name="Header2 7 4" xfId="1855" xr:uid="{00000000-0005-0000-0000-0000170E0000}"/>
    <cellStyle name="Header2 7 4 2" xfId="3327" xr:uid="{00000000-0005-0000-0000-0000180E0000}"/>
    <cellStyle name="Header2 7 4 2 2" xfId="8865" xr:uid="{00000000-0005-0000-0000-0000190E0000}"/>
    <cellStyle name="Header2 7 5" xfId="1643" xr:uid="{00000000-0005-0000-0000-00001A0E0000}"/>
    <cellStyle name="Header2 7 5 2" xfId="3122" xr:uid="{00000000-0005-0000-0000-00001B0E0000}"/>
    <cellStyle name="Header2 7 5 2 2" xfId="6698" xr:uid="{00000000-0005-0000-0000-00001C0E0000}"/>
    <cellStyle name="Header2 7 5 2 3" xfId="9998" xr:uid="{00000000-0005-0000-0000-00001D0E0000}"/>
    <cellStyle name="Header2 7 5 2 4" xfId="11960" xr:uid="{00000000-0005-0000-0000-00001E0E0000}"/>
    <cellStyle name="Header2 7 5 3" xfId="5237" xr:uid="{00000000-0005-0000-0000-00001F0E0000}"/>
    <cellStyle name="Header2 7 5 4" xfId="9345" xr:uid="{00000000-0005-0000-0000-0000200E0000}"/>
    <cellStyle name="Header2 7 5 5" xfId="11076" xr:uid="{00000000-0005-0000-0000-0000210E0000}"/>
    <cellStyle name="Header2 7 6" xfId="4417" xr:uid="{00000000-0005-0000-0000-0000220E0000}"/>
    <cellStyle name="Header2 7 7" xfId="4017" xr:uid="{00000000-0005-0000-0000-0000230E0000}"/>
    <cellStyle name="Header2 7 8" xfId="7773" xr:uid="{00000000-0005-0000-0000-0000240E0000}"/>
    <cellStyle name="Header2 8" xfId="793" xr:uid="{00000000-0005-0000-0000-0000250E0000}"/>
    <cellStyle name="Header2 8 2" xfId="1176" xr:uid="{00000000-0005-0000-0000-0000260E0000}"/>
    <cellStyle name="Header2 8 2 10" xfId="2432" xr:uid="{00000000-0005-0000-0000-0000270E0000}"/>
    <cellStyle name="Header2 8 2 10 2" xfId="3887" xr:uid="{00000000-0005-0000-0000-0000280E0000}"/>
    <cellStyle name="Header2 8 2 10 2 2" xfId="7457" xr:uid="{00000000-0005-0000-0000-0000290E0000}"/>
    <cellStyle name="Header2 8 2 10 2 3" xfId="10714" xr:uid="{00000000-0005-0000-0000-00002A0E0000}"/>
    <cellStyle name="Header2 8 2 10 2 4" xfId="12025" xr:uid="{00000000-0005-0000-0000-00002B0E0000}"/>
    <cellStyle name="Header2 8 2 10 3" xfId="6020" xr:uid="{00000000-0005-0000-0000-00002C0E0000}"/>
    <cellStyle name="Header2 8 2 10 4" xfId="6238" xr:uid="{00000000-0005-0000-0000-00002D0E0000}"/>
    <cellStyle name="Header2 8 2 10 5" xfId="11796" xr:uid="{00000000-0005-0000-0000-00002E0E0000}"/>
    <cellStyle name="Header2 8 2 11" xfId="1346" xr:uid="{00000000-0005-0000-0000-00002F0E0000}"/>
    <cellStyle name="Header2 8 2 11 2" xfId="4944" xr:uid="{00000000-0005-0000-0000-0000300E0000}"/>
    <cellStyle name="Header2 8 2 11 3" xfId="4078" xr:uid="{00000000-0005-0000-0000-0000310E0000}"/>
    <cellStyle name="Header2 8 2 11 4" xfId="10830" xr:uid="{00000000-0005-0000-0000-0000320E0000}"/>
    <cellStyle name="Header2 8 2 12" xfId="2691" xr:uid="{00000000-0005-0000-0000-0000330E0000}"/>
    <cellStyle name="Header2 8 2 12 2" xfId="6274" xr:uid="{00000000-0005-0000-0000-0000340E0000}"/>
    <cellStyle name="Header2 8 2 12 3" xfId="9626" xr:uid="{00000000-0005-0000-0000-0000350E0000}"/>
    <cellStyle name="Header2 8 2 12 4" xfId="11916" xr:uid="{00000000-0005-0000-0000-0000360E0000}"/>
    <cellStyle name="Header2 8 2 13" xfId="4775" xr:uid="{00000000-0005-0000-0000-0000370E0000}"/>
    <cellStyle name="Header2 8 2 14" xfId="4181" xr:uid="{00000000-0005-0000-0000-0000380E0000}"/>
    <cellStyle name="Header2 8 2 15" xfId="7823" xr:uid="{00000000-0005-0000-0000-0000390E0000}"/>
    <cellStyle name="Header2 8 2 2" xfId="1723" xr:uid="{00000000-0005-0000-0000-00003A0E0000}"/>
    <cellStyle name="Header2 8 2 2 2" xfId="3200" xr:uid="{00000000-0005-0000-0000-00003B0E0000}"/>
    <cellStyle name="Header2 8 2 2 2 2" xfId="6773" xr:uid="{00000000-0005-0000-0000-00003C0E0000}"/>
    <cellStyle name="Header2 8 2 2 2 3" xfId="10053" xr:uid="{00000000-0005-0000-0000-00003D0E0000}"/>
    <cellStyle name="Header2 8 2 2 2 4" xfId="11968" xr:uid="{00000000-0005-0000-0000-00003E0E0000}"/>
    <cellStyle name="Header2 8 2 2 3" xfId="5315" xr:uid="{00000000-0005-0000-0000-00003F0E0000}"/>
    <cellStyle name="Header2 8 2 2 4" xfId="4397" xr:uid="{00000000-0005-0000-0000-0000400E0000}"/>
    <cellStyle name="Header2 8 2 2 5" xfId="11130" xr:uid="{00000000-0005-0000-0000-0000410E0000}"/>
    <cellStyle name="Header2 8 2 3" xfId="1892" xr:uid="{00000000-0005-0000-0000-0000420E0000}"/>
    <cellStyle name="Header2 8 2 3 2" xfId="3356" xr:uid="{00000000-0005-0000-0000-0000430E0000}"/>
    <cellStyle name="Header2 8 2 3 2 2" xfId="6926" xr:uid="{00000000-0005-0000-0000-0000440E0000}"/>
    <cellStyle name="Header2 8 2 3 2 3" xfId="10183" xr:uid="{00000000-0005-0000-0000-0000450E0000}"/>
    <cellStyle name="Header2 8 2 3 2 4" xfId="11990" xr:uid="{00000000-0005-0000-0000-0000460E0000}"/>
    <cellStyle name="Header2 8 2 3 3" xfId="5480" xr:uid="{00000000-0005-0000-0000-0000470E0000}"/>
    <cellStyle name="Header2 8 2 3 4" xfId="7973" xr:uid="{00000000-0005-0000-0000-0000480E0000}"/>
    <cellStyle name="Header2 8 2 3 5" xfId="11261" xr:uid="{00000000-0005-0000-0000-0000490E0000}"/>
    <cellStyle name="Header2 8 2 4" xfId="1619" xr:uid="{00000000-0005-0000-0000-00004A0E0000}"/>
    <cellStyle name="Header2 8 2 4 2" xfId="3102" xr:uid="{00000000-0005-0000-0000-00004B0E0000}"/>
    <cellStyle name="Header2 8 2 4 2 2" xfId="6679" xr:uid="{00000000-0005-0000-0000-00004C0E0000}"/>
    <cellStyle name="Header2 8 2 4 2 3" xfId="9983" xr:uid="{00000000-0005-0000-0000-00004D0E0000}"/>
    <cellStyle name="Header2 8 2 4 2 4" xfId="11957" xr:uid="{00000000-0005-0000-0000-00004E0E0000}"/>
    <cellStyle name="Header2 8 2 4 3" xfId="5216" xr:uid="{00000000-0005-0000-0000-00004F0E0000}"/>
    <cellStyle name="Header2 8 2 4 4" xfId="8077" xr:uid="{00000000-0005-0000-0000-0000500E0000}"/>
    <cellStyle name="Header2 8 2 4 5" xfId="11065" xr:uid="{00000000-0005-0000-0000-0000510E0000}"/>
    <cellStyle name="Header2 8 2 5" xfId="1817" xr:uid="{00000000-0005-0000-0000-0000520E0000}"/>
    <cellStyle name="Header2 8 2 5 2" xfId="3294" xr:uid="{00000000-0005-0000-0000-0000530E0000}"/>
    <cellStyle name="Header2 8 2 5 2 2" xfId="6864" xr:uid="{00000000-0005-0000-0000-0000540E0000}"/>
    <cellStyle name="Header2 8 2 5 2 3" xfId="10125" xr:uid="{00000000-0005-0000-0000-0000550E0000}"/>
    <cellStyle name="Header2 8 2 5 2 4" xfId="11978" xr:uid="{00000000-0005-0000-0000-0000560E0000}"/>
    <cellStyle name="Header2 8 2 5 3" xfId="5406" xr:uid="{00000000-0005-0000-0000-0000570E0000}"/>
    <cellStyle name="Header2 8 2 5 4" xfId="7636" xr:uid="{00000000-0005-0000-0000-0000580E0000}"/>
    <cellStyle name="Header2 8 2 5 5" xfId="11202" xr:uid="{00000000-0005-0000-0000-0000590E0000}"/>
    <cellStyle name="Header2 8 2 6" xfId="1499" xr:uid="{00000000-0005-0000-0000-00005A0E0000}"/>
    <cellStyle name="Header2 8 2 6 2" xfId="2984" xr:uid="{00000000-0005-0000-0000-00005B0E0000}"/>
    <cellStyle name="Header2 8 2 6 2 2" xfId="6561" xr:uid="{00000000-0005-0000-0000-00005C0E0000}"/>
    <cellStyle name="Header2 8 2 6 2 3" xfId="9885" xr:uid="{00000000-0005-0000-0000-00005D0E0000}"/>
    <cellStyle name="Header2 8 2 6 2 4" xfId="11943" xr:uid="{00000000-0005-0000-0000-00005E0E0000}"/>
    <cellStyle name="Header2 8 2 6 3" xfId="5096" xr:uid="{00000000-0005-0000-0000-00005F0E0000}"/>
    <cellStyle name="Header2 8 2 6 4" xfId="9027" xr:uid="{00000000-0005-0000-0000-0000600E0000}"/>
    <cellStyle name="Header2 8 2 6 5" xfId="10966" xr:uid="{00000000-0005-0000-0000-0000610E0000}"/>
    <cellStyle name="Header2 8 2 7" xfId="1918" xr:uid="{00000000-0005-0000-0000-0000620E0000}"/>
    <cellStyle name="Header2 8 2 7 2" xfId="3382" xr:uid="{00000000-0005-0000-0000-0000630E0000}"/>
    <cellStyle name="Header2 8 2 7 2 2" xfId="6952" xr:uid="{00000000-0005-0000-0000-0000640E0000}"/>
    <cellStyle name="Header2 8 2 7 2 3" xfId="10209" xr:uid="{00000000-0005-0000-0000-0000650E0000}"/>
    <cellStyle name="Header2 8 2 7 2 4" xfId="11993" xr:uid="{00000000-0005-0000-0000-0000660E0000}"/>
    <cellStyle name="Header2 8 2 7 3" xfId="5506" xr:uid="{00000000-0005-0000-0000-0000670E0000}"/>
    <cellStyle name="Header2 8 2 7 4" xfId="4072" xr:uid="{00000000-0005-0000-0000-0000680E0000}"/>
    <cellStyle name="Header2 8 2 7 5" xfId="11287" xr:uid="{00000000-0005-0000-0000-0000690E0000}"/>
    <cellStyle name="Header2 8 2 8" xfId="2271" xr:uid="{00000000-0005-0000-0000-00006A0E0000}"/>
    <cellStyle name="Header2 8 2 8 2" xfId="3728" xr:uid="{00000000-0005-0000-0000-00006B0E0000}"/>
    <cellStyle name="Header2 8 2 8 2 2" xfId="7298" xr:uid="{00000000-0005-0000-0000-00006C0E0000}"/>
    <cellStyle name="Header2 8 2 8 2 3" xfId="10555" xr:uid="{00000000-0005-0000-0000-00006D0E0000}"/>
    <cellStyle name="Header2 8 2 8 2 4" xfId="12005" xr:uid="{00000000-0005-0000-0000-00006E0E0000}"/>
    <cellStyle name="Header2 8 2 8 3" xfId="5859" xr:uid="{00000000-0005-0000-0000-00006F0E0000}"/>
    <cellStyle name="Header2 8 2 8 4" xfId="4863" xr:uid="{00000000-0005-0000-0000-0000700E0000}"/>
    <cellStyle name="Header2 8 2 8 5" xfId="11637" xr:uid="{00000000-0005-0000-0000-0000710E0000}"/>
    <cellStyle name="Header2 8 2 9" xfId="2363" xr:uid="{00000000-0005-0000-0000-0000720E0000}"/>
    <cellStyle name="Header2 8 2 9 2" xfId="3819" xr:uid="{00000000-0005-0000-0000-0000730E0000}"/>
    <cellStyle name="Header2 8 2 9 2 2" xfId="7389" xr:uid="{00000000-0005-0000-0000-0000740E0000}"/>
    <cellStyle name="Header2 8 2 9 2 3" xfId="10646" xr:uid="{00000000-0005-0000-0000-0000750E0000}"/>
    <cellStyle name="Header2 8 2 9 2 4" xfId="12015" xr:uid="{00000000-0005-0000-0000-0000760E0000}"/>
    <cellStyle name="Header2 8 2 9 3" xfId="5951" xr:uid="{00000000-0005-0000-0000-0000770E0000}"/>
    <cellStyle name="Header2 8 2 9 4" xfId="6631" xr:uid="{00000000-0005-0000-0000-0000780E0000}"/>
    <cellStyle name="Header2 8 2 9 5" xfId="11728" xr:uid="{00000000-0005-0000-0000-0000790E0000}"/>
    <cellStyle name="Header2 8 3" xfId="1471" xr:uid="{00000000-0005-0000-0000-00007A0E0000}"/>
    <cellStyle name="Header2 8 3 2" xfId="2956" xr:uid="{00000000-0005-0000-0000-00007B0E0000}"/>
    <cellStyle name="Header2 8 3 2 2" xfId="6533" xr:uid="{00000000-0005-0000-0000-00007C0E0000}"/>
    <cellStyle name="Header2 8 3 2 3" xfId="9857" xr:uid="{00000000-0005-0000-0000-00007D0E0000}"/>
    <cellStyle name="Header2 8 3 2 4" xfId="11939" xr:uid="{00000000-0005-0000-0000-00007E0E0000}"/>
    <cellStyle name="Header2 8 3 3" xfId="5068" xr:uid="{00000000-0005-0000-0000-00007F0E0000}"/>
    <cellStyle name="Header2 8 3 4" xfId="8038" xr:uid="{00000000-0005-0000-0000-0000800E0000}"/>
    <cellStyle name="Header2 8 3 5" xfId="10938" xr:uid="{00000000-0005-0000-0000-0000810E0000}"/>
    <cellStyle name="Header2 8 4" xfId="1407" xr:uid="{00000000-0005-0000-0000-0000820E0000}"/>
    <cellStyle name="Header2 8 4 2" xfId="2897" xr:uid="{00000000-0005-0000-0000-0000830E0000}"/>
    <cellStyle name="Header2 8 4 2 2" xfId="8477" xr:uid="{00000000-0005-0000-0000-0000840E0000}"/>
    <cellStyle name="Header2 8 5" xfId="1553" xr:uid="{00000000-0005-0000-0000-0000850E0000}"/>
    <cellStyle name="Header2 8 5 2" xfId="3037" xr:uid="{00000000-0005-0000-0000-0000860E0000}"/>
    <cellStyle name="Header2 8 5 2 2" xfId="6614" xr:uid="{00000000-0005-0000-0000-0000870E0000}"/>
    <cellStyle name="Header2 8 5 2 3" xfId="9921" xr:uid="{00000000-0005-0000-0000-0000880E0000}"/>
    <cellStyle name="Header2 8 5 2 4" xfId="11946" xr:uid="{00000000-0005-0000-0000-0000890E0000}"/>
    <cellStyle name="Header2 8 5 3" xfId="5150" xr:uid="{00000000-0005-0000-0000-00008A0E0000}"/>
    <cellStyle name="Header2 8 5 4" xfId="8663" xr:uid="{00000000-0005-0000-0000-00008B0E0000}"/>
    <cellStyle name="Header2 8 5 5" xfId="11003" xr:uid="{00000000-0005-0000-0000-00008C0E0000}"/>
    <cellStyle name="Header2 8 6" xfId="4418" xr:uid="{00000000-0005-0000-0000-00008D0E0000}"/>
    <cellStyle name="Header2 8 7" xfId="4357" xr:uid="{00000000-0005-0000-0000-00008E0E0000}"/>
    <cellStyle name="Header2 8 8" xfId="8360" xr:uid="{00000000-0005-0000-0000-00008F0E0000}"/>
    <cellStyle name="Header2 9" xfId="794" xr:uid="{00000000-0005-0000-0000-0000900E0000}"/>
    <cellStyle name="Header2 9 2" xfId="1177" xr:uid="{00000000-0005-0000-0000-0000910E0000}"/>
    <cellStyle name="Header2 9 2 10" xfId="2433" xr:uid="{00000000-0005-0000-0000-0000920E0000}"/>
    <cellStyle name="Header2 9 2 10 2" xfId="3888" xr:uid="{00000000-0005-0000-0000-0000930E0000}"/>
    <cellStyle name="Header2 9 2 10 2 2" xfId="7458" xr:uid="{00000000-0005-0000-0000-0000940E0000}"/>
    <cellStyle name="Header2 9 2 10 2 3" xfId="10715" xr:uid="{00000000-0005-0000-0000-0000950E0000}"/>
    <cellStyle name="Header2 9 2 10 2 4" xfId="12026" xr:uid="{00000000-0005-0000-0000-0000960E0000}"/>
    <cellStyle name="Header2 9 2 10 3" xfId="6021" xr:uid="{00000000-0005-0000-0000-0000970E0000}"/>
    <cellStyle name="Header2 9 2 10 4" xfId="7570" xr:uid="{00000000-0005-0000-0000-0000980E0000}"/>
    <cellStyle name="Header2 9 2 10 5" xfId="11797" xr:uid="{00000000-0005-0000-0000-0000990E0000}"/>
    <cellStyle name="Header2 9 2 11" xfId="1507" xr:uid="{00000000-0005-0000-0000-00009A0E0000}"/>
    <cellStyle name="Header2 9 2 11 2" xfId="5104" xr:uid="{00000000-0005-0000-0000-00009B0E0000}"/>
    <cellStyle name="Header2 9 2 11 3" xfId="8750" xr:uid="{00000000-0005-0000-0000-00009C0E0000}"/>
    <cellStyle name="Header2 9 2 11 4" xfId="10974" xr:uid="{00000000-0005-0000-0000-00009D0E0000}"/>
    <cellStyle name="Header2 9 2 12" xfId="2692" xr:uid="{00000000-0005-0000-0000-00009E0E0000}"/>
    <cellStyle name="Header2 9 2 12 2" xfId="6275" xr:uid="{00000000-0005-0000-0000-00009F0E0000}"/>
    <cellStyle name="Header2 9 2 12 3" xfId="9627" xr:uid="{00000000-0005-0000-0000-0000A00E0000}"/>
    <cellStyle name="Header2 9 2 12 4" xfId="11917" xr:uid="{00000000-0005-0000-0000-0000A10E0000}"/>
    <cellStyle name="Header2 9 2 13" xfId="4776" xr:uid="{00000000-0005-0000-0000-0000A20E0000}"/>
    <cellStyle name="Header2 9 2 14" xfId="4180" xr:uid="{00000000-0005-0000-0000-0000A30E0000}"/>
    <cellStyle name="Header2 9 2 15" xfId="8144" xr:uid="{00000000-0005-0000-0000-0000A40E0000}"/>
    <cellStyle name="Header2 9 2 2" xfId="1724" xr:uid="{00000000-0005-0000-0000-0000A50E0000}"/>
    <cellStyle name="Header2 9 2 2 2" xfId="3201" xr:uid="{00000000-0005-0000-0000-0000A60E0000}"/>
    <cellStyle name="Header2 9 2 2 2 2" xfId="6774" xr:uid="{00000000-0005-0000-0000-0000A70E0000}"/>
    <cellStyle name="Header2 9 2 2 2 3" xfId="10054" xr:uid="{00000000-0005-0000-0000-0000A80E0000}"/>
    <cellStyle name="Header2 9 2 2 2 4" xfId="11969" xr:uid="{00000000-0005-0000-0000-0000A90E0000}"/>
    <cellStyle name="Header2 9 2 2 3" xfId="5316" xr:uid="{00000000-0005-0000-0000-0000AA0E0000}"/>
    <cellStyle name="Header2 9 2 2 4" xfId="4398" xr:uid="{00000000-0005-0000-0000-0000AB0E0000}"/>
    <cellStyle name="Header2 9 2 2 5" xfId="11131" xr:uid="{00000000-0005-0000-0000-0000AC0E0000}"/>
    <cellStyle name="Header2 9 2 3" xfId="1893" xr:uid="{00000000-0005-0000-0000-0000AD0E0000}"/>
    <cellStyle name="Header2 9 2 3 2" xfId="3357" xr:uid="{00000000-0005-0000-0000-0000AE0E0000}"/>
    <cellStyle name="Header2 9 2 3 2 2" xfId="6927" xr:uid="{00000000-0005-0000-0000-0000AF0E0000}"/>
    <cellStyle name="Header2 9 2 3 2 3" xfId="10184" xr:uid="{00000000-0005-0000-0000-0000B00E0000}"/>
    <cellStyle name="Header2 9 2 3 2 4" xfId="11991" xr:uid="{00000000-0005-0000-0000-0000B10E0000}"/>
    <cellStyle name="Header2 9 2 3 3" xfId="5481" xr:uid="{00000000-0005-0000-0000-0000B20E0000}"/>
    <cellStyle name="Header2 9 2 3 4" xfId="7629" xr:uid="{00000000-0005-0000-0000-0000B30E0000}"/>
    <cellStyle name="Header2 9 2 3 5" xfId="11262" xr:uid="{00000000-0005-0000-0000-0000B40E0000}"/>
    <cellStyle name="Header2 9 2 4" xfId="1620" xr:uid="{00000000-0005-0000-0000-0000B50E0000}"/>
    <cellStyle name="Header2 9 2 4 2" xfId="3103" xr:uid="{00000000-0005-0000-0000-0000B60E0000}"/>
    <cellStyle name="Header2 9 2 4 2 2" xfId="6680" xr:uid="{00000000-0005-0000-0000-0000B70E0000}"/>
    <cellStyle name="Header2 9 2 4 2 3" xfId="9984" xr:uid="{00000000-0005-0000-0000-0000B80E0000}"/>
    <cellStyle name="Header2 9 2 4 2 4" xfId="11958" xr:uid="{00000000-0005-0000-0000-0000B90E0000}"/>
    <cellStyle name="Header2 9 2 4 3" xfId="5217" xr:uid="{00000000-0005-0000-0000-0000BA0E0000}"/>
    <cellStyle name="Header2 9 2 4 4" xfId="9257" xr:uid="{00000000-0005-0000-0000-0000BB0E0000}"/>
    <cellStyle name="Header2 9 2 4 5" xfId="11066" xr:uid="{00000000-0005-0000-0000-0000BC0E0000}"/>
    <cellStyle name="Header2 9 2 5" xfId="1956" xr:uid="{00000000-0005-0000-0000-0000BD0E0000}"/>
    <cellStyle name="Header2 9 2 5 2" xfId="3420" xr:uid="{00000000-0005-0000-0000-0000BE0E0000}"/>
    <cellStyle name="Header2 9 2 5 2 2" xfId="6990" xr:uid="{00000000-0005-0000-0000-0000BF0E0000}"/>
    <cellStyle name="Header2 9 2 5 2 3" xfId="10247" xr:uid="{00000000-0005-0000-0000-0000C00E0000}"/>
    <cellStyle name="Header2 9 2 5 2 4" xfId="11995" xr:uid="{00000000-0005-0000-0000-0000C10E0000}"/>
    <cellStyle name="Header2 9 2 5 3" xfId="5544" xr:uid="{00000000-0005-0000-0000-0000C20E0000}"/>
    <cellStyle name="Header2 9 2 5 4" xfId="7974" xr:uid="{00000000-0005-0000-0000-0000C30E0000}"/>
    <cellStyle name="Header2 9 2 5 5" xfId="11325" xr:uid="{00000000-0005-0000-0000-0000C40E0000}"/>
    <cellStyle name="Header2 9 2 6" xfId="1500" xr:uid="{00000000-0005-0000-0000-0000C50E0000}"/>
    <cellStyle name="Header2 9 2 6 2" xfId="2985" xr:uid="{00000000-0005-0000-0000-0000C60E0000}"/>
    <cellStyle name="Header2 9 2 6 2 2" xfId="6562" xr:uid="{00000000-0005-0000-0000-0000C70E0000}"/>
    <cellStyle name="Header2 9 2 6 2 3" xfId="9886" xr:uid="{00000000-0005-0000-0000-0000C80E0000}"/>
    <cellStyle name="Header2 9 2 6 2 4" xfId="11944" xr:uid="{00000000-0005-0000-0000-0000C90E0000}"/>
    <cellStyle name="Header2 9 2 6 3" xfId="5097" xr:uid="{00000000-0005-0000-0000-0000CA0E0000}"/>
    <cellStyle name="Header2 9 2 6 4" xfId="7953" xr:uid="{00000000-0005-0000-0000-0000CB0E0000}"/>
    <cellStyle name="Header2 9 2 6 5" xfId="10967" xr:uid="{00000000-0005-0000-0000-0000CC0E0000}"/>
    <cellStyle name="Header2 9 2 7" xfId="2094" xr:uid="{00000000-0005-0000-0000-0000CD0E0000}"/>
    <cellStyle name="Header2 9 2 7 2" xfId="3554" xr:uid="{00000000-0005-0000-0000-0000CE0E0000}"/>
    <cellStyle name="Header2 9 2 7 2 2" xfId="7124" xr:uid="{00000000-0005-0000-0000-0000CF0E0000}"/>
    <cellStyle name="Header2 9 2 7 2 3" xfId="10381" xr:uid="{00000000-0005-0000-0000-0000D00E0000}"/>
    <cellStyle name="Header2 9 2 7 2 4" xfId="11997" xr:uid="{00000000-0005-0000-0000-0000D10E0000}"/>
    <cellStyle name="Header2 9 2 7 3" xfId="5682" xr:uid="{00000000-0005-0000-0000-0000D20E0000}"/>
    <cellStyle name="Header2 9 2 7 4" xfId="7774" xr:uid="{00000000-0005-0000-0000-0000D30E0000}"/>
    <cellStyle name="Header2 9 2 7 5" xfId="11461" xr:uid="{00000000-0005-0000-0000-0000D40E0000}"/>
    <cellStyle name="Header2 9 2 8" xfId="2272" xr:uid="{00000000-0005-0000-0000-0000D50E0000}"/>
    <cellStyle name="Header2 9 2 8 2" xfId="3729" xr:uid="{00000000-0005-0000-0000-0000D60E0000}"/>
    <cellStyle name="Header2 9 2 8 2 2" xfId="7299" xr:uid="{00000000-0005-0000-0000-0000D70E0000}"/>
    <cellStyle name="Header2 9 2 8 2 3" xfId="10556" xr:uid="{00000000-0005-0000-0000-0000D80E0000}"/>
    <cellStyle name="Header2 9 2 8 2 4" xfId="12006" xr:uid="{00000000-0005-0000-0000-0000D90E0000}"/>
    <cellStyle name="Header2 9 2 8 3" xfId="5860" xr:uid="{00000000-0005-0000-0000-0000DA0E0000}"/>
    <cellStyle name="Header2 9 2 8 4" xfId="5393" xr:uid="{00000000-0005-0000-0000-0000DB0E0000}"/>
    <cellStyle name="Header2 9 2 8 5" xfId="11638" xr:uid="{00000000-0005-0000-0000-0000DC0E0000}"/>
    <cellStyle name="Header2 9 2 9" xfId="2364" xr:uid="{00000000-0005-0000-0000-0000DD0E0000}"/>
    <cellStyle name="Header2 9 2 9 2" xfId="3820" xr:uid="{00000000-0005-0000-0000-0000DE0E0000}"/>
    <cellStyle name="Header2 9 2 9 2 2" xfId="7390" xr:uid="{00000000-0005-0000-0000-0000DF0E0000}"/>
    <cellStyle name="Header2 9 2 9 2 3" xfId="10647" xr:uid="{00000000-0005-0000-0000-0000E00E0000}"/>
    <cellStyle name="Header2 9 2 9 2 4" xfId="12016" xr:uid="{00000000-0005-0000-0000-0000E10E0000}"/>
    <cellStyle name="Header2 9 2 9 3" xfId="5952" xr:uid="{00000000-0005-0000-0000-0000E20E0000}"/>
    <cellStyle name="Header2 9 2 9 4" xfId="6188" xr:uid="{00000000-0005-0000-0000-0000E30E0000}"/>
    <cellStyle name="Header2 9 2 9 5" xfId="11729" xr:uid="{00000000-0005-0000-0000-0000E40E0000}"/>
    <cellStyle name="Header2 9 3" xfId="1472" xr:uid="{00000000-0005-0000-0000-0000E50E0000}"/>
    <cellStyle name="Header2 9 3 2" xfId="2957" xr:uid="{00000000-0005-0000-0000-0000E60E0000}"/>
    <cellStyle name="Header2 9 3 2 2" xfId="6534" xr:uid="{00000000-0005-0000-0000-0000E70E0000}"/>
    <cellStyle name="Header2 9 3 2 3" xfId="9858" xr:uid="{00000000-0005-0000-0000-0000E80E0000}"/>
    <cellStyle name="Header2 9 3 2 4" xfId="11940" xr:uid="{00000000-0005-0000-0000-0000E90E0000}"/>
    <cellStyle name="Header2 9 3 3" xfId="5069" xr:uid="{00000000-0005-0000-0000-0000EA0E0000}"/>
    <cellStyle name="Header2 9 3 4" xfId="8918" xr:uid="{00000000-0005-0000-0000-0000EB0E0000}"/>
    <cellStyle name="Header2 9 3 5" xfId="10939" xr:uid="{00000000-0005-0000-0000-0000EC0E0000}"/>
    <cellStyle name="Header2 9 4" xfId="1622" xr:uid="{00000000-0005-0000-0000-0000ED0E0000}"/>
    <cellStyle name="Header2 9 4 2" xfId="3105" xr:uid="{00000000-0005-0000-0000-0000EE0E0000}"/>
    <cellStyle name="Header2 9 4 2 2" xfId="8668" xr:uid="{00000000-0005-0000-0000-0000EF0E0000}"/>
    <cellStyle name="Header2 9 5" xfId="1279" xr:uid="{00000000-0005-0000-0000-0000F00E0000}"/>
    <cellStyle name="Header2 9 5 2" xfId="2779" xr:uid="{00000000-0005-0000-0000-0000F10E0000}"/>
    <cellStyle name="Header2 9 5 2 2" xfId="6358" xr:uid="{00000000-0005-0000-0000-0000F20E0000}"/>
    <cellStyle name="Header2 9 5 2 3" xfId="9691" xr:uid="{00000000-0005-0000-0000-0000F30E0000}"/>
    <cellStyle name="Header2 9 5 2 4" xfId="11919" xr:uid="{00000000-0005-0000-0000-0000F40E0000}"/>
    <cellStyle name="Header2 9 5 3" xfId="4877" xr:uid="{00000000-0005-0000-0000-0000F50E0000}"/>
    <cellStyle name="Header2 9 5 4" xfId="7914" xr:uid="{00000000-0005-0000-0000-0000F60E0000}"/>
    <cellStyle name="Header2 9 5 5" xfId="8704" xr:uid="{00000000-0005-0000-0000-0000F70E0000}"/>
    <cellStyle name="Header2 9 6" xfId="4419" xr:uid="{00000000-0005-0000-0000-0000F80E0000}"/>
    <cellStyle name="Header2 9 7" xfId="4356" xr:uid="{00000000-0005-0000-0000-0000F90E0000}"/>
    <cellStyle name="Header2 9 8" xfId="8826" xr:uid="{00000000-0005-0000-0000-0000FA0E0000}"/>
    <cellStyle name="headerStyle" xfId="79" xr:uid="{00000000-0005-0000-0000-0000FB0E0000}"/>
    <cellStyle name="headerStyle 2" xfId="81" xr:uid="{00000000-0005-0000-0000-0000FC0E0000}"/>
    <cellStyle name="headerStyle 2 2" xfId="95" xr:uid="{00000000-0005-0000-0000-0000FD0E0000}"/>
    <cellStyle name="headerStyle 2 3" xfId="82" xr:uid="{00000000-0005-0000-0000-0000FE0E0000}"/>
    <cellStyle name="Heading 1" xfId="11" builtinId="16" customBuiltin="1"/>
    <cellStyle name="Heading 1 10" xfId="795" xr:uid="{00000000-0005-0000-0000-0000000F0000}"/>
    <cellStyle name="Heading 1 11" xfId="796" xr:uid="{00000000-0005-0000-0000-0000010F0000}"/>
    <cellStyle name="Heading 1 12" xfId="797" xr:uid="{00000000-0005-0000-0000-0000020F0000}"/>
    <cellStyle name="Heading 1 13" xfId="798" xr:uid="{00000000-0005-0000-0000-0000030F0000}"/>
    <cellStyle name="Heading 1 14" xfId="799" xr:uid="{00000000-0005-0000-0000-0000040F0000}"/>
    <cellStyle name="Heading 1 15" xfId="800" xr:uid="{00000000-0005-0000-0000-0000050F0000}"/>
    <cellStyle name="Heading 1 16" xfId="801" xr:uid="{00000000-0005-0000-0000-0000060F0000}"/>
    <cellStyle name="Heading 1 17" xfId="802" xr:uid="{00000000-0005-0000-0000-0000070F0000}"/>
    <cellStyle name="Heading 1 18" xfId="803" xr:uid="{00000000-0005-0000-0000-0000080F0000}"/>
    <cellStyle name="Heading 1 19" xfId="804" xr:uid="{00000000-0005-0000-0000-0000090F0000}"/>
    <cellStyle name="Heading 1 2" xfId="48" xr:uid="{00000000-0005-0000-0000-00000A0F0000}"/>
    <cellStyle name="Heading 1 2 2" xfId="178" xr:uid="{00000000-0005-0000-0000-00000B0F0000}"/>
    <cellStyle name="Heading 1 3" xfId="134" xr:uid="{00000000-0005-0000-0000-00000C0F0000}"/>
    <cellStyle name="Heading 1 3 2" xfId="805" xr:uid="{00000000-0005-0000-0000-00000D0F0000}"/>
    <cellStyle name="Heading 1 4" xfId="806" xr:uid="{00000000-0005-0000-0000-00000E0F0000}"/>
    <cellStyle name="Heading 1 5" xfId="807" xr:uid="{00000000-0005-0000-0000-00000F0F0000}"/>
    <cellStyle name="Heading 1 6" xfId="808" xr:uid="{00000000-0005-0000-0000-0000100F0000}"/>
    <cellStyle name="Heading 1 7" xfId="809" xr:uid="{00000000-0005-0000-0000-0000110F0000}"/>
    <cellStyle name="Heading 1 8" xfId="810" xr:uid="{00000000-0005-0000-0000-0000120F0000}"/>
    <cellStyle name="Heading 1 9" xfId="811" xr:uid="{00000000-0005-0000-0000-0000130F0000}"/>
    <cellStyle name="Heading 2" xfId="12" builtinId="17" customBuiltin="1"/>
    <cellStyle name="Heading 2 10" xfId="812" xr:uid="{00000000-0005-0000-0000-0000150F0000}"/>
    <cellStyle name="Heading 2 11" xfId="813" xr:uid="{00000000-0005-0000-0000-0000160F0000}"/>
    <cellStyle name="Heading 2 12" xfId="814" xr:uid="{00000000-0005-0000-0000-0000170F0000}"/>
    <cellStyle name="Heading 2 13" xfId="815" xr:uid="{00000000-0005-0000-0000-0000180F0000}"/>
    <cellStyle name="Heading 2 14" xfId="816" xr:uid="{00000000-0005-0000-0000-0000190F0000}"/>
    <cellStyle name="Heading 2 15" xfId="817" xr:uid="{00000000-0005-0000-0000-00001A0F0000}"/>
    <cellStyle name="Heading 2 16" xfId="818" xr:uid="{00000000-0005-0000-0000-00001B0F0000}"/>
    <cellStyle name="Heading 2 17" xfId="819" xr:uid="{00000000-0005-0000-0000-00001C0F0000}"/>
    <cellStyle name="Heading 2 18" xfId="820" xr:uid="{00000000-0005-0000-0000-00001D0F0000}"/>
    <cellStyle name="Heading 2 19" xfId="821" xr:uid="{00000000-0005-0000-0000-00001E0F0000}"/>
    <cellStyle name="Heading 2 2" xfId="49" xr:uid="{00000000-0005-0000-0000-00001F0F0000}"/>
    <cellStyle name="Heading 2 2 2" xfId="179" xr:uid="{00000000-0005-0000-0000-0000200F0000}"/>
    <cellStyle name="Heading 2 3" xfId="135" xr:uid="{00000000-0005-0000-0000-0000210F0000}"/>
    <cellStyle name="Heading 2 3 2" xfId="822" xr:uid="{00000000-0005-0000-0000-0000220F0000}"/>
    <cellStyle name="Heading 2 4" xfId="823" xr:uid="{00000000-0005-0000-0000-0000230F0000}"/>
    <cellStyle name="Heading 2 5" xfId="824" xr:uid="{00000000-0005-0000-0000-0000240F0000}"/>
    <cellStyle name="Heading 2 6" xfId="825" xr:uid="{00000000-0005-0000-0000-0000250F0000}"/>
    <cellStyle name="Heading 2 7" xfId="826" xr:uid="{00000000-0005-0000-0000-0000260F0000}"/>
    <cellStyle name="Heading 2 8" xfId="827" xr:uid="{00000000-0005-0000-0000-0000270F0000}"/>
    <cellStyle name="Heading 2 9" xfId="828" xr:uid="{00000000-0005-0000-0000-0000280F0000}"/>
    <cellStyle name="Heading 3" xfId="97" builtinId="18" customBuiltin="1"/>
    <cellStyle name="Heading 3 10" xfId="829" xr:uid="{00000000-0005-0000-0000-00002A0F0000}"/>
    <cellStyle name="Heading 3 10 2" xfId="1882" xr:uid="{00000000-0005-0000-0000-00002B0F0000}"/>
    <cellStyle name="Heading 3 10 2 2" xfId="7898" xr:uid="{00000000-0005-0000-0000-00002C0F0000}"/>
    <cellStyle name="Heading 3 10 2 3" xfId="8032" xr:uid="{00000000-0005-0000-0000-00002D0F0000}"/>
    <cellStyle name="Heading 3 10 3" xfId="4348" xr:uid="{00000000-0005-0000-0000-00002E0F0000}"/>
    <cellStyle name="Heading 3 10 4" xfId="8696" xr:uid="{00000000-0005-0000-0000-00002F0F0000}"/>
    <cellStyle name="Heading 3 11" xfId="830" xr:uid="{00000000-0005-0000-0000-0000300F0000}"/>
    <cellStyle name="Heading 3 11 2" xfId="2028" xr:uid="{00000000-0005-0000-0000-0000310F0000}"/>
    <cellStyle name="Heading 3 11 2 2" xfId="7952" xr:uid="{00000000-0005-0000-0000-0000320F0000}"/>
    <cellStyle name="Heading 3 11 2 3" xfId="947" xr:uid="{00000000-0005-0000-0000-0000330F0000}"/>
    <cellStyle name="Heading 3 11 3" xfId="4038" xr:uid="{00000000-0005-0000-0000-0000340F0000}"/>
    <cellStyle name="Heading 3 11 4" xfId="7762" xr:uid="{00000000-0005-0000-0000-0000350F0000}"/>
    <cellStyle name="Heading 3 12" xfId="831" xr:uid="{00000000-0005-0000-0000-0000360F0000}"/>
    <cellStyle name="Heading 3 12 2" xfId="1858" xr:uid="{00000000-0005-0000-0000-0000370F0000}"/>
    <cellStyle name="Heading 3 12 2 2" xfId="7877" xr:uid="{00000000-0005-0000-0000-0000380F0000}"/>
    <cellStyle name="Heading 3 12 2 3" xfId="4432" xr:uid="{00000000-0005-0000-0000-0000390F0000}"/>
    <cellStyle name="Heading 3 12 3" xfId="4760" xr:uid="{00000000-0005-0000-0000-00003A0F0000}"/>
    <cellStyle name="Heading 3 12 4" xfId="8354" xr:uid="{00000000-0005-0000-0000-00003B0F0000}"/>
    <cellStyle name="Heading 3 13" xfId="832" xr:uid="{00000000-0005-0000-0000-00003C0F0000}"/>
    <cellStyle name="Heading 3 13 2" xfId="1562" xr:uid="{00000000-0005-0000-0000-00003D0F0000}"/>
    <cellStyle name="Heading 3 13 2 2" xfId="7714" xr:uid="{00000000-0005-0000-0000-00003E0F0000}"/>
    <cellStyle name="Heading 3 13 2 3" xfId="8102" xr:uid="{00000000-0005-0000-0000-00003F0F0000}"/>
    <cellStyle name="Heading 3 13 3" xfId="4761" xr:uid="{00000000-0005-0000-0000-0000400F0000}"/>
    <cellStyle name="Heading 3 13 4" xfId="8819" xr:uid="{00000000-0005-0000-0000-0000410F0000}"/>
    <cellStyle name="Heading 3 14" xfId="833" xr:uid="{00000000-0005-0000-0000-0000420F0000}"/>
    <cellStyle name="Heading 3 14 2" xfId="1406" xr:uid="{00000000-0005-0000-0000-0000430F0000}"/>
    <cellStyle name="Heading 3 14 2 2" xfId="7604" xr:uid="{00000000-0005-0000-0000-0000440F0000}"/>
    <cellStyle name="Heading 3 14 2 3" xfId="5303" xr:uid="{00000000-0005-0000-0000-0000450F0000}"/>
    <cellStyle name="Heading 3 14 3" xfId="4347" xr:uid="{00000000-0005-0000-0000-0000460F0000}"/>
    <cellStyle name="Heading 3 14 4" xfId="7835" xr:uid="{00000000-0005-0000-0000-0000470F0000}"/>
    <cellStyle name="Heading 3 15" xfId="834" xr:uid="{00000000-0005-0000-0000-0000480F0000}"/>
    <cellStyle name="Heading 3 15 2" xfId="1405" xr:uid="{00000000-0005-0000-0000-0000490F0000}"/>
    <cellStyle name="Heading 3 15 2 2" xfId="7603" xr:uid="{00000000-0005-0000-0000-00004A0F0000}"/>
    <cellStyle name="Heading 3 15 2 3" xfId="4763" xr:uid="{00000000-0005-0000-0000-00004B0F0000}"/>
    <cellStyle name="Heading 3 15 3" xfId="4346" xr:uid="{00000000-0005-0000-0000-00004C0F0000}"/>
    <cellStyle name="Heading 3 15 4" xfId="4112" xr:uid="{00000000-0005-0000-0000-00004D0F0000}"/>
    <cellStyle name="Heading 3 16" xfId="835" xr:uid="{00000000-0005-0000-0000-00004E0F0000}"/>
    <cellStyle name="Heading 3 16 2" xfId="1884" xr:uid="{00000000-0005-0000-0000-00004F0F0000}"/>
    <cellStyle name="Heading 3 16 2 2" xfId="7900" xr:uid="{00000000-0005-0000-0000-0000500F0000}"/>
    <cellStyle name="Heading 3 16 2 3" xfId="7671" xr:uid="{00000000-0005-0000-0000-0000510F0000}"/>
    <cellStyle name="Heading 3 16 3" xfId="4345" xr:uid="{00000000-0005-0000-0000-0000520F0000}"/>
    <cellStyle name="Heading 3 16 4" xfId="4231" xr:uid="{00000000-0005-0000-0000-0000530F0000}"/>
    <cellStyle name="Heading 3 17" xfId="836" xr:uid="{00000000-0005-0000-0000-0000540F0000}"/>
    <cellStyle name="Heading 3 17 2" xfId="1883" xr:uid="{00000000-0005-0000-0000-0000550F0000}"/>
    <cellStyle name="Heading 3 17 2 2" xfId="7899" xr:uid="{00000000-0005-0000-0000-0000560F0000}"/>
    <cellStyle name="Heading 3 17 2 3" xfId="7871" xr:uid="{00000000-0005-0000-0000-0000570F0000}"/>
    <cellStyle name="Heading 3 17 3" xfId="4344" xr:uid="{00000000-0005-0000-0000-0000580F0000}"/>
    <cellStyle name="Heading 3 17 4" xfId="8250" xr:uid="{00000000-0005-0000-0000-0000590F0000}"/>
    <cellStyle name="Heading 3 18" xfId="837" xr:uid="{00000000-0005-0000-0000-00005A0F0000}"/>
    <cellStyle name="Heading 3 18 2" xfId="1844" xr:uid="{00000000-0005-0000-0000-00005B0F0000}"/>
    <cellStyle name="Heading 3 18 2 2" xfId="7867" xr:uid="{00000000-0005-0000-0000-00005C0F0000}"/>
    <cellStyle name="Heading 3 18 2 3" xfId="8825" xr:uid="{00000000-0005-0000-0000-00005D0F0000}"/>
    <cellStyle name="Heading 3 18 3" xfId="6143" xr:uid="{00000000-0005-0000-0000-00005E0F0000}"/>
    <cellStyle name="Heading 3 18 4" xfId="8695" xr:uid="{00000000-0005-0000-0000-00005F0F0000}"/>
    <cellStyle name="Heading 3 19" xfId="838" xr:uid="{00000000-0005-0000-0000-0000600F0000}"/>
    <cellStyle name="Heading 3 19 2" xfId="1456" xr:uid="{00000000-0005-0000-0000-0000610F0000}"/>
    <cellStyle name="Heading 3 19 2 2" xfId="7642" xr:uid="{00000000-0005-0000-0000-0000620F0000}"/>
    <cellStyle name="Heading 3 19 2 3" xfId="7908" xr:uid="{00000000-0005-0000-0000-0000630F0000}"/>
    <cellStyle name="Heading 3 19 3" xfId="6384" xr:uid="{00000000-0005-0000-0000-0000640F0000}"/>
    <cellStyle name="Heading 3 19 4" xfId="7761" xr:uid="{00000000-0005-0000-0000-0000650F0000}"/>
    <cellStyle name="Heading 3 2" xfId="180" xr:uid="{00000000-0005-0000-0000-0000660F0000}"/>
    <cellStyle name="Heading 3 2 2" xfId="1645" xr:uid="{00000000-0005-0000-0000-0000670F0000}"/>
    <cellStyle name="Heading 3 2 2 2" xfId="7754" xr:uid="{00000000-0005-0000-0000-0000680F0000}"/>
    <cellStyle name="Heading 3 2 2 3" xfId="9256" xr:uid="{00000000-0005-0000-0000-0000690F0000}"/>
    <cellStyle name="Heading 3 2 3" xfId="4665" xr:uid="{00000000-0005-0000-0000-00006A0F0000}"/>
    <cellStyle name="Heading 3 2 4" xfId="8013" xr:uid="{00000000-0005-0000-0000-00006B0F0000}"/>
    <cellStyle name="Heading 3 3" xfId="839" xr:uid="{00000000-0005-0000-0000-00006C0F0000}"/>
    <cellStyle name="Heading 3 3 2" xfId="1404" xr:uid="{00000000-0005-0000-0000-00006D0F0000}"/>
    <cellStyle name="Heading 3 3 2 2" xfId="7602" xr:uid="{00000000-0005-0000-0000-00006E0F0000}"/>
    <cellStyle name="Heading 3 3 2 3" xfId="4349" xr:uid="{00000000-0005-0000-0000-00006F0F0000}"/>
    <cellStyle name="Heading 3 3 3" xfId="4903" xr:uid="{00000000-0005-0000-0000-0000700F0000}"/>
    <cellStyle name="Heading 3 3 4" xfId="8353" xr:uid="{00000000-0005-0000-0000-0000710F0000}"/>
    <cellStyle name="Heading 3 4" xfId="840" xr:uid="{00000000-0005-0000-0000-0000720F0000}"/>
    <cellStyle name="Heading 3 4 2" xfId="1403" xr:uid="{00000000-0005-0000-0000-0000730F0000}"/>
    <cellStyle name="Heading 3 4 2 2" xfId="7601" xr:uid="{00000000-0005-0000-0000-0000740F0000}"/>
    <cellStyle name="Heading 3 4 2 3" xfId="4705" xr:uid="{00000000-0005-0000-0000-0000750F0000}"/>
    <cellStyle name="Heading 3 4 3" xfId="6248" xr:uid="{00000000-0005-0000-0000-0000760F0000}"/>
    <cellStyle name="Heading 3 4 4" xfId="8818" xr:uid="{00000000-0005-0000-0000-0000770F0000}"/>
    <cellStyle name="Heading 3 5" xfId="841" xr:uid="{00000000-0005-0000-0000-0000780F0000}"/>
    <cellStyle name="Heading 3 5 2" xfId="1327" xr:uid="{00000000-0005-0000-0000-0000790F0000}"/>
    <cellStyle name="Heading 3 5 2 2" xfId="4073" xr:uid="{00000000-0005-0000-0000-00007A0F0000}"/>
    <cellStyle name="Heading 3 5 2 3" xfId="7990" xr:uid="{00000000-0005-0000-0000-00007B0F0000}"/>
    <cellStyle name="Heading 3 5 3" xfId="6743" xr:uid="{00000000-0005-0000-0000-00007C0F0000}"/>
    <cellStyle name="Heading 3 5 4" xfId="7834" xr:uid="{00000000-0005-0000-0000-00007D0F0000}"/>
    <cellStyle name="Heading 3 6" xfId="842" xr:uid="{00000000-0005-0000-0000-00007E0F0000}"/>
    <cellStyle name="Heading 3 6 2" xfId="1640" xr:uid="{00000000-0005-0000-0000-00007F0F0000}"/>
    <cellStyle name="Heading 3 6 2 2" xfId="7749" xr:uid="{00000000-0005-0000-0000-0000800F0000}"/>
    <cellStyle name="Heading 3 6 2 3" xfId="7857" xr:uid="{00000000-0005-0000-0000-0000810F0000}"/>
    <cellStyle name="Heading 3 6 3" xfId="5283" xr:uid="{00000000-0005-0000-0000-0000820F0000}"/>
    <cellStyle name="Heading 3 6 4" xfId="4113" xr:uid="{00000000-0005-0000-0000-0000830F0000}"/>
    <cellStyle name="Heading 3 7" xfId="843" xr:uid="{00000000-0005-0000-0000-0000840F0000}"/>
    <cellStyle name="Heading 3 7 2" xfId="1633" xr:uid="{00000000-0005-0000-0000-0000850F0000}"/>
    <cellStyle name="Heading 3 7 2 2" xfId="7744" xr:uid="{00000000-0005-0000-0000-0000860F0000}"/>
    <cellStyle name="Heading 3 7 2 3" xfId="7804" xr:uid="{00000000-0005-0000-0000-0000870F0000}"/>
    <cellStyle name="Heading 3 7 3" xfId="4737" xr:uid="{00000000-0005-0000-0000-0000880F0000}"/>
    <cellStyle name="Heading 3 7 4" xfId="4232" xr:uid="{00000000-0005-0000-0000-0000890F0000}"/>
    <cellStyle name="Heading 3 8" xfId="844" xr:uid="{00000000-0005-0000-0000-00008A0F0000}"/>
    <cellStyle name="Heading 3 8 2" xfId="1402" xr:uid="{00000000-0005-0000-0000-00008B0F0000}"/>
    <cellStyle name="Heading 3 8 2 2" xfId="7600" xr:uid="{00000000-0005-0000-0000-00008C0F0000}"/>
    <cellStyle name="Heading 3 8 2 3" xfId="4762" xr:uid="{00000000-0005-0000-0000-00008D0F0000}"/>
    <cellStyle name="Heading 3 8 3" xfId="4054" xr:uid="{00000000-0005-0000-0000-00008E0F0000}"/>
    <cellStyle name="Heading 3 8 4" xfId="4150" xr:uid="{00000000-0005-0000-0000-00008F0F0000}"/>
    <cellStyle name="Heading 3 9" xfId="845" xr:uid="{00000000-0005-0000-0000-0000900F0000}"/>
    <cellStyle name="Heading 3 9 2" xfId="1401" xr:uid="{00000000-0005-0000-0000-0000910F0000}"/>
    <cellStyle name="Heading 3 9 2 2" xfId="7599" xr:uid="{00000000-0005-0000-0000-0000920F0000}"/>
    <cellStyle name="Heading 3 9 2 3" xfId="4343" xr:uid="{00000000-0005-0000-0000-0000930F0000}"/>
    <cellStyle name="Heading 3 9 3" xfId="4015" xr:uid="{00000000-0005-0000-0000-0000940F0000}"/>
    <cellStyle name="Heading 3 9 4" xfId="4288" xr:uid="{00000000-0005-0000-0000-0000950F0000}"/>
    <cellStyle name="Heading 4" xfId="98" builtinId="19" customBuiltin="1"/>
    <cellStyle name="Heading 4 10" xfId="846" xr:uid="{00000000-0005-0000-0000-0000970F0000}"/>
    <cellStyle name="Heading 4 11" xfId="847" xr:uid="{00000000-0005-0000-0000-0000980F0000}"/>
    <cellStyle name="Heading 4 12" xfId="848" xr:uid="{00000000-0005-0000-0000-0000990F0000}"/>
    <cellStyle name="Heading 4 13" xfId="849" xr:uid="{00000000-0005-0000-0000-00009A0F0000}"/>
    <cellStyle name="Heading 4 14" xfId="850" xr:uid="{00000000-0005-0000-0000-00009B0F0000}"/>
    <cellStyle name="Heading 4 15" xfId="851" xr:uid="{00000000-0005-0000-0000-00009C0F0000}"/>
    <cellStyle name="Heading 4 16" xfId="852" xr:uid="{00000000-0005-0000-0000-00009D0F0000}"/>
    <cellStyle name="Heading 4 17" xfId="853" xr:uid="{00000000-0005-0000-0000-00009E0F0000}"/>
    <cellStyle name="Heading 4 18" xfId="854" xr:uid="{00000000-0005-0000-0000-00009F0F0000}"/>
    <cellStyle name="Heading 4 19" xfId="855" xr:uid="{00000000-0005-0000-0000-0000A00F0000}"/>
    <cellStyle name="Heading 4 2" xfId="181" xr:uid="{00000000-0005-0000-0000-0000A10F0000}"/>
    <cellStyle name="Heading 4 3" xfId="856" xr:uid="{00000000-0005-0000-0000-0000A20F0000}"/>
    <cellStyle name="Heading 4 4" xfId="857" xr:uid="{00000000-0005-0000-0000-0000A30F0000}"/>
    <cellStyle name="Heading 4 5" xfId="858" xr:uid="{00000000-0005-0000-0000-0000A40F0000}"/>
    <cellStyle name="Heading 4 6" xfId="859" xr:uid="{00000000-0005-0000-0000-0000A50F0000}"/>
    <cellStyle name="Heading 4 7" xfId="860" xr:uid="{00000000-0005-0000-0000-0000A60F0000}"/>
    <cellStyle name="Heading 4 8" xfId="861" xr:uid="{00000000-0005-0000-0000-0000A70F0000}"/>
    <cellStyle name="Heading 4 9" xfId="862" xr:uid="{00000000-0005-0000-0000-0000A80F0000}"/>
    <cellStyle name="Hyperlink" xfId="13" builtinId="8"/>
    <cellStyle name="Hyperlink 2" xfId="863" xr:uid="{00000000-0005-0000-0000-0000AA0F0000}"/>
    <cellStyle name="Input" xfId="102" builtinId="20" customBuiltin="1"/>
    <cellStyle name="Input [yellow]" xfId="14" xr:uid="{00000000-0005-0000-0000-0000AC0F0000}"/>
    <cellStyle name="Input [yellow] 2" xfId="50" xr:uid="{00000000-0005-0000-0000-0000AD0F0000}"/>
    <cellStyle name="Input [yellow] 2 10" xfId="2434" xr:uid="{00000000-0005-0000-0000-0000AE0F0000}"/>
    <cellStyle name="Input [yellow] 2 10 2" xfId="3889" xr:uid="{00000000-0005-0000-0000-0000AF0F0000}"/>
    <cellStyle name="Input [yellow] 2 10 2 2" xfId="7459" xr:uid="{00000000-0005-0000-0000-0000B00F0000}"/>
    <cellStyle name="Input [yellow] 2 10 2 3" xfId="10716" xr:uid="{00000000-0005-0000-0000-0000B10F0000}"/>
    <cellStyle name="Input [yellow] 2 10 2 4" xfId="12027" xr:uid="{00000000-0005-0000-0000-0000B20F0000}"/>
    <cellStyle name="Input [yellow] 2 10 3" xfId="6022" xr:uid="{00000000-0005-0000-0000-0000B30F0000}"/>
    <cellStyle name="Input [yellow] 2 10 4" xfId="7571" xr:uid="{00000000-0005-0000-0000-0000B40F0000}"/>
    <cellStyle name="Input [yellow] 2 10 5" xfId="11798" xr:uid="{00000000-0005-0000-0000-0000B50F0000}"/>
    <cellStyle name="Input [yellow] 2 11" xfId="1846" xr:uid="{00000000-0005-0000-0000-0000B60F0000}"/>
    <cellStyle name="Input [yellow] 2 11 2" xfId="5435" xr:uid="{00000000-0005-0000-0000-0000B70F0000}"/>
    <cellStyle name="Input [yellow] 2 11 3" xfId="4108" xr:uid="{00000000-0005-0000-0000-0000B80F0000}"/>
    <cellStyle name="Input [yellow] 2 11 4" xfId="11226" xr:uid="{00000000-0005-0000-0000-0000B90F0000}"/>
    <cellStyle name="Input [yellow] 2 12" xfId="2693" xr:uid="{00000000-0005-0000-0000-0000BA0F0000}"/>
    <cellStyle name="Input [yellow] 2 12 2" xfId="6276" xr:uid="{00000000-0005-0000-0000-0000BB0F0000}"/>
    <cellStyle name="Input [yellow] 2 12 3" xfId="9628" xr:uid="{00000000-0005-0000-0000-0000BC0F0000}"/>
    <cellStyle name="Input [yellow] 2 12 4" xfId="11918" xr:uid="{00000000-0005-0000-0000-0000BD0F0000}"/>
    <cellStyle name="Input [yellow] 2 13" xfId="1178" xr:uid="{00000000-0005-0000-0000-0000BE0F0000}"/>
    <cellStyle name="Input [yellow] 2 14" xfId="4777" xr:uid="{00000000-0005-0000-0000-0000BF0F0000}"/>
    <cellStyle name="Input [yellow] 2 15" xfId="4179" xr:uid="{00000000-0005-0000-0000-0000C00F0000}"/>
    <cellStyle name="Input [yellow] 2 16" xfId="8117" xr:uid="{00000000-0005-0000-0000-0000C10F0000}"/>
    <cellStyle name="Input [yellow] 2 2" xfId="1725" xr:uid="{00000000-0005-0000-0000-0000C20F0000}"/>
    <cellStyle name="Input [yellow] 2 2 2" xfId="3202" xr:uid="{00000000-0005-0000-0000-0000C30F0000}"/>
    <cellStyle name="Input [yellow] 2 2 2 2" xfId="6775" xr:uid="{00000000-0005-0000-0000-0000C40F0000}"/>
    <cellStyle name="Input [yellow] 2 2 2 3" xfId="10055" xr:uid="{00000000-0005-0000-0000-0000C50F0000}"/>
    <cellStyle name="Input [yellow] 2 2 2 4" xfId="11970" xr:uid="{00000000-0005-0000-0000-0000C60F0000}"/>
    <cellStyle name="Input [yellow] 2 2 3" xfId="5317" xr:uid="{00000000-0005-0000-0000-0000C70F0000}"/>
    <cellStyle name="Input [yellow] 2 2 4" xfId="4399" xr:uid="{00000000-0005-0000-0000-0000C80F0000}"/>
    <cellStyle name="Input [yellow] 2 2 5" xfId="11132" xr:uid="{00000000-0005-0000-0000-0000C90F0000}"/>
    <cellStyle name="Input [yellow] 2 3" xfId="1894" xr:uid="{00000000-0005-0000-0000-0000CA0F0000}"/>
    <cellStyle name="Input [yellow] 2 3 2" xfId="3358" xr:uid="{00000000-0005-0000-0000-0000CB0F0000}"/>
    <cellStyle name="Input [yellow] 2 3 2 2" xfId="6928" xr:uid="{00000000-0005-0000-0000-0000CC0F0000}"/>
    <cellStyle name="Input [yellow] 2 3 2 3" xfId="10185" xr:uid="{00000000-0005-0000-0000-0000CD0F0000}"/>
    <cellStyle name="Input [yellow] 2 3 2 4" xfId="11992" xr:uid="{00000000-0005-0000-0000-0000CE0F0000}"/>
    <cellStyle name="Input [yellow] 2 3 3" xfId="5482" xr:uid="{00000000-0005-0000-0000-0000CF0F0000}"/>
    <cellStyle name="Input [yellow] 2 3 4" xfId="8075" xr:uid="{00000000-0005-0000-0000-0000D00F0000}"/>
    <cellStyle name="Input [yellow] 2 3 5" xfId="11263" xr:uid="{00000000-0005-0000-0000-0000D10F0000}"/>
    <cellStyle name="Input [yellow] 2 4" xfId="1621" xr:uid="{00000000-0005-0000-0000-0000D20F0000}"/>
    <cellStyle name="Input [yellow] 2 4 2" xfId="3104" xr:uid="{00000000-0005-0000-0000-0000D30F0000}"/>
    <cellStyle name="Input [yellow] 2 4 2 2" xfId="6681" xr:uid="{00000000-0005-0000-0000-0000D40F0000}"/>
    <cellStyle name="Input [yellow] 2 4 2 3" xfId="9985" xr:uid="{00000000-0005-0000-0000-0000D50F0000}"/>
    <cellStyle name="Input [yellow] 2 4 2 4" xfId="11959" xr:uid="{00000000-0005-0000-0000-0000D60F0000}"/>
    <cellStyle name="Input [yellow] 2 4 3" xfId="5218" xr:uid="{00000000-0005-0000-0000-0000D70F0000}"/>
    <cellStyle name="Input [yellow] 2 4 4" xfId="8034" xr:uid="{00000000-0005-0000-0000-0000D80F0000}"/>
    <cellStyle name="Input [yellow] 2 4 5" xfId="11067" xr:uid="{00000000-0005-0000-0000-0000D90F0000}"/>
    <cellStyle name="Input [yellow] 2 5" xfId="1818" xr:uid="{00000000-0005-0000-0000-0000DA0F0000}"/>
    <cellStyle name="Input [yellow] 2 5 2" xfId="3295" xr:uid="{00000000-0005-0000-0000-0000DB0F0000}"/>
    <cellStyle name="Input [yellow] 2 5 2 2" xfId="6865" xr:uid="{00000000-0005-0000-0000-0000DC0F0000}"/>
    <cellStyle name="Input [yellow] 2 5 2 3" xfId="10126" xr:uid="{00000000-0005-0000-0000-0000DD0F0000}"/>
    <cellStyle name="Input [yellow] 2 5 2 4" xfId="11979" xr:uid="{00000000-0005-0000-0000-0000DE0F0000}"/>
    <cellStyle name="Input [yellow] 2 5 3" xfId="5407" xr:uid="{00000000-0005-0000-0000-0000DF0F0000}"/>
    <cellStyle name="Input [yellow] 2 5 4" xfId="8279" xr:uid="{00000000-0005-0000-0000-0000E00F0000}"/>
    <cellStyle name="Input [yellow] 2 5 5" xfId="11203" xr:uid="{00000000-0005-0000-0000-0000E10F0000}"/>
    <cellStyle name="Input [yellow] 2 6" xfId="1501" xr:uid="{00000000-0005-0000-0000-0000E20F0000}"/>
    <cellStyle name="Input [yellow] 2 6 2" xfId="2986" xr:uid="{00000000-0005-0000-0000-0000E30F0000}"/>
    <cellStyle name="Input [yellow] 2 6 2 2" xfId="6563" xr:uid="{00000000-0005-0000-0000-0000E40F0000}"/>
    <cellStyle name="Input [yellow] 2 6 2 3" xfId="9887" xr:uid="{00000000-0005-0000-0000-0000E50F0000}"/>
    <cellStyle name="Input [yellow] 2 6 2 4" xfId="11945" xr:uid="{00000000-0005-0000-0000-0000E60F0000}"/>
    <cellStyle name="Input [yellow] 2 6 3" xfId="5098" xr:uid="{00000000-0005-0000-0000-0000E70F0000}"/>
    <cellStyle name="Input [yellow] 2 6 4" xfId="8832" xr:uid="{00000000-0005-0000-0000-0000E80F0000}"/>
    <cellStyle name="Input [yellow] 2 6 5" xfId="10968" xr:uid="{00000000-0005-0000-0000-0000E90F0000}"/>
    <cellStyle name="Input [yellow] 2 7" xfId="1290" xr:uid="{00000000-0005-0000-0000-0000EA0F0000}"/>
    <cellStyle name="Input [yellow] 2 7 2" xfId="2790" xr:uid="{00000000-0005-0000-0000-0000EB0F0000}"/>
    <cellStyle name="Input [yellow] 2 7 2 2" xfId="6369" xr:uid="{00000000-0005-0000-0000-0000EC0F0000}"/>
    <cellStyle name="Input [yellow] 2 7 2 3" xfId="9701" xr:uid="{00000000-0005-0000-0000-0000ED0F0000}"/>
    <cellStyle name="Input [yellow] 2 7 2 4" xfId="11920" xr:uid="{00000000-0005-0000-0000-0000EE0F0000}"/>
    <cellStyle name="Input [yellow] 2 7 3" xfId="4888" xr:uid="{00000000-0005-0000-0000-0000EF0F0000}"/>
    <cellStyle name="Input [yellow] 2 7 4" xfId="7959" xr:uid="{00000000-0005-0000-0000-0000F00F0000}"/>
    <cellStyle name="Input [yellow] 2 8" xfId="2273" xr:uid="{00000000-0005-0000-0000-0000F10F0000}"/>
    <cellStyle name="Input [yellow] 2 8 2" xfId="3730" xr:uid="{00000000-0005-0000-0000-0000F20F0000}"/>
    <cellStyle name="Input [yellow] 2 8 2 2" xfId="7300" xr:uid="{00000000-0005-0000-0000-0000F30F0000}"/>
    <cellStyle name="Input [yellow] 2 8 2 3" xfId="10557" xr:uid="{00000000-0005-0000-0000-0000F40F0000}"/>
    <cellStyle name="Input [yellow] 2 8 2 4" xfId="12007" xr:uid="{00000000-0005-0000-0000-0000F50F0000}"/>
    <cellStyle name="Input [yellow] 2 8 3" xfId="5861" xr:uid="{00000000-0005-0000-0000-0000F60F0000}"/>
    <cellStyle name="Input [yellow] 2 8 4" xfId="6851" xr:uid="{00000000-0005-0000-0000-0000F70F0000}"/>
    <cellStyle name="Input [yellow] 2 9" xfId="2365" xr:uid="{00000000-0005-0000-0000-0000F80F0000}"/>
    <cellStyle name="Input [yellow] 2 9 2" xfId="3821" xr:uid="{00000000-0005-0000-0000-0000F90F0000}"/>
    <cellStyle name="Input [yellow] 2 9 2 2" xfId="7391" xr:uid="{00000000-0005-0000-0000-0000FA0F0000}"/>
    <cellStyle name="Input [yellow] 2 9 2 3" xfId="10648" xr:uid="{00000000-0005-0000-0000-0000FB0F0000}"/>
    <cellStyle name="Input [yellow] 2 9 2 4" xfId="12017" xr:uid="{00000000-0005-0000-0000-0000FC0F0000}"/>
    <cellStyle name="Input [yellow] 2 9 3" xfId="5953" xr:uid="{00000000-0005-0000-0000-0000FD0F0000}"/>
    <cellStyle name="Input [yellow] 2 9 4" xfId="4582" xr:uid="{00000000-0005-0000-0000-0000FE0F0000}"/>
    <cellStyle name="Input [yellow] 3" xfId="1436" xr:uid="{00000000-0005-0000-0000-0000FF0F0000}"/>
    <cellStyle name="Input [yellow] 3 2" xfId="2923" xr:uid="{00000000-0005-0000-0000-000000100000}"/>
    <cellStyle name="Input [yellow] 3 2 2" xfId="6501" xr:uid="{00000000-0005-0000-0000-000001100000}"/>
    <cellStyle name="Input [yellow] 3 2 3" xfId="9826" xr:uid="{00000000-0005-0000-0000-000002100000}"/>
    <cellStyle name="Input [yellow] 3 2 4" xfId="11931" xr:uid="{00000000-0005-0000-0000-000003100000}"/>
    <cellStyle name="Input [yellow] 3 3" xfId="5034" xr:uid="{00000000-0005-0000-0000-000004100000}"/>
    <cellStyle name="Input [yellow] 3 4" xfId="4767" xr:uid="{00000000-0005-0000-0000-000005100000}"/>
    <cellStyle name="Input [yellow] 4" xfId="4478" xr:uid="{00000000-0005-0000-0000-000006100000}"/>
    <cellStyle name="Input [yellow] 5" xfId="4326" xr:uid="{00000000-0005-0000-0000-000007100000}"/>
    <cellStyle name="Input [yellow] 6" xfId="8212" xr:uid="{00000000-0005-0000-0000-000008100000}"/>
    <cellStyle name="Input 10" xfId="865" xr:uid="{00000000-0005-0000-0000-000009100000}"/>
    <cellStyle name="Input 10 2" xfId="1179" xr:uid="{00000000-0005-0000-0000-00000A100000}"/>
    <cellStyle name="Input 10 2 10" xfId="2435" xr:uid="{00000000-0005-0000-0000-00000B100000}"/>
    <cellStyle name="Input 10 2 10 2" xfId="3890" xr:uid="{00000000-0005-0000-0000-00000C100000}"/>
    <cellStyle name="Input 10 2 10 2 2" xfId="7460" xr:uid="{00000000-0005-0000-0000-00000D100000}"/>
    <cellStyle name="Input 10 2 10 2 3" xfId="9420" xr:uid="{00000000-0005-0000-0000-00000E100000}"/>
    <cellStyle name="Input 10 2 10 2 4" xfId="10717" xr:uid="{00000000-0005-0000-0000-00000F100000}"/>
    <cellStyle name="Input 10 2 10 3" xfId="6023" xr:uid="{00000000-0005-0000-0000-000010100000}"/>
    <cellStyle name="Input 10 2 10 4" xfId="7572" xr:uid="{00000000-0005-0000-0000-000011100000}"/>
    <cellStyle name="Input 10 2 10 5" xfId="11799" xr:uid="{00000000-0005-0000-0000-000012100000}"/>
    <cellStyle name="Input 10 2 11" xfId="2236" xr:uid="{00000000-0005-0000-0000-000013100000}"/>
    <cellStyle name="Input 10 2 11 2" xfId="3693" xr:uid="{00000000-0005-0000-0000-000014100000}"/>
    <cellStyle name="Input 10 2 11 2 2" xfId="7263" xr:uid="{00000000-0005-0000-0000-000015100000}"/>
    <cellStyle name="Input 10 2 11 2 3" xfId="9228" xr:uid="{00000000-0005-0000-0000-000016100000}"/>
    <cellStyle name="Input 10 2 11 2 4" xfId="10520" xr:uid="{00000000-0005-0000-0000-000017100000}"/>
    <cellStyle name="Input 10 2 11 3" xfId="5824" xr:uid="{00000000-0005-0000-0000-000018100000}"/>
    <cellStyle name="Input 10 2 11 4" xfId="4530" xr:uid="{00000000-0005-0000-0000-000019100000}"/>
    <cellStyle name="Input 10 2 11 5" xfId="11602" xr:uid="{00000000-0005-0000-0000-00001A100000}"/>
    <cellStyle name="Input 10 2 12" xfId="2694" xr:uid="{00000000-0005-0000-0000-00001B100000}"/>
    <cellStyle name="Input 10 2 12 2" xfId="6277" xr:uid="{00000000-0005-0000-0000-00001C100000}"/>
    <cellStyle name="Input 10 2 12 3" xfId="8291" xr:uid="{00000000-0005-0000-0000-00001D100000}"/>
    <cellStyle name="Input 10 2 12 4" xfId="9629" xr:uid="{00000000-0005-0000-0000-00001E100000}"/>
    <cellStyle name="Input 10 2 13" xfId="4778" xr:uid="{00000000-0005-0000-0000-00001F100000}"/>
    <cellStyle name="Input 10 2 14" xfId="4178" xr:uid="{00000000-0005-0000-0000-000020100000}"/>
    <cellStyle name="Input 10 2 15" xfId="7635" xr:uid="{00000000-0005-0000-0000-000021100000}"/>
    <cellStyle name="Input 10 2 2" xfId="1726" xr:uid="{00000000-0005-0000-0000-000022100000}"/>
    <cellStyle name="Input 10 2 2 2" xfId="3203" xr:uid="{00000000-0005-0000-0000-000023100000}"/>
    <cellStyle name="Input 10 2 2 2 2" xfId="6776" xr:uid="{00000000-0005-0000-0000-000024100000}"/>
    <cellStyle name="Input 10 2 2 2 3" xfId="8754" xr:uid="{00000000-0005-0000-0000-000025100000}"/>
    <cellStyle name="Input 10 2 2 2 4" xfId="10056" xr:uid="{00000000-0005-0000-0000-000026100000}"/>
    <cellStyle name="Input 10 2 2 3" xfId="5318" xr:uid="{00000000-0005-0000-0000-000027100000}"/>
    <cellStyle name="Input 10 2 2 4" xfId="4400" xr:uid="{00000000-0005-0000-0000-000028100000}"/>
    <cellStyle name="Input 10 2 2 5" xfId="11133" xr:uid="{00000000-0005-0000-0000-000029100000}"/>
    <cellStyle name="Input 10 2 3" xfId="1895" xr:uid="{00000000-0005-0000-0000-00002A100000}"/>
    <cellStyle name="Input 10 2 3 2" xfId="3359" xr:uid="{00000000-0005-0000-0000-00002B100000}"/>
    <cellStyle name="Input 10 2 3 2 2" xfId="6929" xr:uid="{00000000-0005-0000-0000-00002C100000}"/>
    <cellStyle name="Input 10 2 3 2 3" xfId="8895" xr:uid="{00000000-0005-0000-0000-00002D100000}"/>
    <cellStyle name="Input 10 2 3 2 4" xfId="10186" xr:uid="{00000000-0005-0000-0000-00002E100000}"/>
    <cellStyle name="Input 10 2 3 3" xfId="5483" xr:uid="{00000000-0005-0000-0000-00002F100000}"/>
    <cellStyle name="Input 10 2 3 4" xfId="8031" xr:uid="{00000000-0005-0000-0000-000030100000}"/>
    <cellStyle name="Input 10 2 3 5" xfId="11264" xr:uid="{00000000-0005-0000-0000-000031100000}"/>
    <cellStyle name="Input 10 2 4" xfId="1967" xr:uid="{00000000-0005-0000-0000-000032100000}"/>
    <cellStyle name="Input 10 2 4 2" xfId="3430" xr:uid="{00000000-0005-0000-0000-000033100000}"/>
    <cellStyle name="Input 10 2 4 2 2" xfId="7000" xr:uid="{00000000-0005-0000-0000-000034100000}"/>
    <cellStyle name="Input 10 2 4 2 3" xfId="8966" xr:uid="{00000000-0005-0000-0000-000035100000}"/>
    <cellStyle name="Input 10 2 4 2 4" xfId="10257" xr:uid="{00000000-0005-0000-0000-000036100000}"/>
    <cellStyle name="Input 10 2 4 3" xfId="5555" xr:uid="{00000000-0005-0000-0000-000037100000}"/>
    <cellStyle name="Input 10 2 4 4" xfId="8003" xr:uid="{00000000-0005-0000-0000-000038100000}"/>
    <cellStyle name="Input 10 2 4 5" xfId="11335" xr:uid="{00000000-0005-0000-0000-000039100000}"/>
    <cellStyle name="Input 10 2 5" xfId="2033" xr:uid="{00000000-0005-0000-0000-00003A100000}"/>
    <cellStyle name="Input 10 2 5 2" xfId="3494" xr:uid="{00000000-0005-0000-0000-00003B100000}"/>
    <cellStyle name="Input 10 2 5 2 2" xfId="7064" xr:uid="{00000000-0005-0000-0000-00003C100000}"/>
    <cellStyle name="Input 10 2 5 2 3" xfId="9030" xr:uid="{00000000-0005-0000-0000-00003D100000}"/>
    <cellStyle name="Input 10 2 5 2 4" xfId="10321" xr:uid="{00000000-0005-0000-0000-00003E100000}"/>
    <cellStyle name="Input 10 2 5 3" xfId="5621" xr:uid="{00000000-0005-0000-0000-00003F100000}"/>
    <cellStyle name="Input 10 2 5 4" xfId="7802" xr:uid="{00000000-0005-0000-0000-000040100000}"/>
    <cellStyle name="Input 10 2 5 5" xfId="11400" xr:uid="{00000000-0005-0000-0000-000041100000}"/>
    <cellStyle name="Input 10 2 6" xfId="1502" xr:uid="{00000000-0005-0000-0000-000042100000}"/>
    <cellStyle name="Input 10 2 6 2" xfId="2987" xr:uid="{00000000-0005-0000-0000-000043100000}"/>
    <cellStyle name="Input 10 2 6 2 2" xfId="6564" xr:uid="{00000000-0005-0000-0000-000044100000}"/>
    <cellStyle name="Input 10 2 6 2 3" xfId="8565" xr:uid="{00000000-0005-0000-0000-000045100000}"/>
    <cellStyle name="Input 10 2 6 2 4" xfId="9888" xr:uid="{00000000-0005-0000-0000-000046100000}"/>
    <cellStyle name="Input 10 2 6 3" xfId="5099" xr:uid="{00000000-0005-0000-0000-000047100000}"/>
    <cellStyle name="Input 10 2 6 4" xfId="7848" xr:uid="{00000000-0005-0000-0000-000048100000}"/>
    <cellStyle name="Input 10 2 6 5" xfId="10969" xr:uid="{00000000-0005-0000-0000-000049100000}"/>
    <cellStyle name="Input 10 2 7" xfId="2170" xr:uid="{00000000-0005-0000-0000-00004A100000}"/>
    <cellStyle name="Input 10 2 7 2" xfId="3629" xr:uid="{00000000-0005-0000-0000-00004B100000}"/>
    <cellStyle name="Input 10 2 7 2 2" xfId="7199" xr:uid="{00000000-0005-0000-0000-00004C100000}"/>
    <cellStyle name="Input 10 2 7 2 3" xfId="9164" xr:uid="{00000000-0005-0000-0000-00004D100000}"/>
    <cellStyle name="Input 10 2 7 2 4" xfId="10456" xr:uid="{00000000-0005-0000-0000-00004E100000}"/>
    <cellStyle name="Input 10 2 7 3" xfId="5758" xr:uid="{00000000-0005-0000-0000-00004F100000}"/>
    <cellStyle name="Input 10 2 7 4" xfId="6602" xr:uid="{00000000-0005-0000-0000-000050100000}"/>
    <cellStyle name="Input 10 2 7 5" xfId="11536" xr:uid="{00000000-0005-0000-0000-000051100000}"/>
    <cellStyle name="Input 10 2 8" xfId="2274" xr:uid="{00000000-0005-0000-0000-000052100000}"/>
    <cellStyle name="Input 10 2 8 2" xfId="3731" xr:uid="{00000000-0005-0000-0000-000053100000}"/>
    <cellStyle name="Input 10 2 8 2 2" xfId="7301" xr:uid="{00000000-0005-0000-0000-000054100000}"/>
    <cellStyle name="Input 10 2 8 2 3" xfId="9264" xr:uid="{00000000-0005-0000-0000-000055100000}"/>
    <cellStyle name="Input 10 2 8 2 4" xfId="10558" xr:uid="{00000000-0005-0000-0000-000056100000}"/>
    <cellStyle name="Input 10 2 8 3" xfId="5862" xr:uid="{00000000-0005-0000-0000-000057100000}"/>
    <cellStyle name="Input 10 2 8 4" xfId="6346" xr:uid="{00000000-0005-0000-0000-000058100000}"/>
    <cellStyle name="Input 10 2 8 5" xfId="11639" xr:uid="{00000000-0005-0000-0000-000059100000}"/>
    <cellStyle name="Input 10 2 9" xfId="2366" xr:uid="{00000000-0005-0000-0000-00005A100000}"/>
    <cellStyle name="Input 10 2 9 2" xfId="3822" xr:uid="{00000000-0005-0000-0000-00005B100000}"/>
    <cellStyle name="Input 10 2 9 2 2" xfId="7392" xr:uid="{00000000-0005-0000-0000-00005C100000}"/>
    <cellStyle name="Input 10 2 9 2 3" xfId="9354" xr:uid="{00000000-0005-0000-0000-00005D100000}"/>
    <cellStyle name="Input 10 2 9 2 4" xfId="10649" xr:uid="{00000000-0005-0000-0000-00005E100000}"/>
    <cellStyle name="Input 10 2 9 3" xfId="5954" xr:uid="{00000000-0005-0000-0000-00005F100000}"/>
    <cellStyle name="Input 10 2 9 4" xfId="4813" xr:uid="{00000000-0005-0000-0000-000060100000}"/>
    <cellStyle name="Input 10 2 9 5" xfId="11730" xr:uid="{00000000-0005-0000-0000-000061100000}"/>
    <cellStyle name="Input 10 3" xfId="1513" xr:uid="{00000000-0005-0000-0000-000062100000}"/>
    <cellStyle name="Input 10 3 2" xfId="2997" xr:uid="{00000000-0005-0000-0000-000063100000}"/>
    <cellStyle name="Input 10 3 2 2" xfId="6574" xr:uid="{00000000-0005-0000-0000-000064100000}"/>
    <cellStyle name="Input 10 3 2 3" xfId="8575" xr:uid="{00000000-0005-0000-0000-000065100000}"/>
    <cellStyle name="Input 10 3 2 4" xfId="9898" xr:uid="{00000000-0005-0000-0000-000066100000}"/>
    <cellStyle name="Input 10 3 3" xfId="5110" xr:uid="{00000000-0005-0000-0000-000067100000}"/>
    <cellStyle name="Input 10 3 4" xfId="8485" xr:uid="{00000000-0005-0000-0000-000068100000}"/>
    <cellStyle name="Input 10 3 5" xfId="10980" xr:uid="{00000000-0005-0000-0000-000069100000}"/>
    <cellStyle name="Input 10 4" xfId="1400" xr:uid="{00000000-0005-0000-0000-00006A100000}"/>
    <cellStyle name="Input 10 4 2" xfId="2896" xr:uid="{00000000-0005-0000-0000-00006B100000}"/>
    <cellStyle name="Input 10 4 2 2" xfId="6475" xr:uid="{00000000-0005-0000-0000-00006C100000}"/>
    <cellStyle name="Input 10 4 2 3" xfId="8476" xr:uid="{00000000-0005-0000-0000-00006D100000}"/>
    <cellStyle name="Input 10 4 2 4" xfId="9801" xr:uid="{00000000-0005-0000-0000-00006E100000}"/>
    <cellStyle name="Input 10 4 3" xfId="4998" xr:uid="{00000000-0005-0000-0000-00006F100000}"/>
    <cellStyle name="Input 10 4 4" xfId="4342" xr:uid="{00000000-0005-0000-0000-000070100000}"/>
    <cellStyle name="Input 10 4 5" xfId="10883" xr:uid="{00000000-0005-0000-0000-000071100000}"/>
    <cellStyle name="Input 10 5" xfId="1281" xr:uid="{00000000-0005-0000-0000-000072100000}"/>
    <cellStyle name="Input 10 5 2" xfId="2781" xr:uid="{00000000-0005-0000-0000-000073100000}"/>
    <cellStyle name="Input 10 5 2 2" xfId="6360" xr:uid="{00000000-0005-0000-0000-000074100000}"/>
    <cellStyle name="Input 10 5 2 3" xfId="8368" xr:uid="{00000000-0005-0000-0000-000075100000}"/>
    <cellStyle name="Input 10 5 2 4" xfId="9693" xr:uid="{00000000-0005-0000-0000-000076100000}"/>
    <cellStyle name="Input 10 5 3" xfId="4879" xr:uid="{00000000-0005-0000-0000-000077100000}"/>
    <cellStyle name="Input 10 5 4" xfId="8140" xr:uid="{00000000-0005-0000-0000-000078100000}"/>
    <cellStyle name="Input 10 5 5" xfId="4255" xr:uid="{00000000-0005-0000-0000-000079100000}"/>
    <cellStyle name="Input 10 6" xfId="2575" xr:uid="{00000000-0005-0000-0000-00007A100000}"/>
    <cellStyle name="Input 10 6 2" xfId="6163" xr:uid="{00000000-0005-0000-0000-00007B100000}"/>
    <cellStyle name="Input 10 6 3" xfId="8189" xr:uid="{00000000-0005-0000-0000-00007C100000}"/>
    <cellStyle name="Input 10 6 4" xfId="9540" xr:uid="{00000000-0005-0000-0000-00007D100000}"/>
    <cellStyle name="Input 10 7" xfId="4479" xr:uid="{00000000-0005-0000-0000-00007E100000}"/>
    <cellStyle name="Input 10 8" xfId="4325" xr:uid="{00000000-0005-0000-0000-00007F100000}"/>
    <cellStyle name="Input 10 9" xfId="8619" xr:uid="{00000000-0005-0000-0000-000080100000}"/>
    <cellStyle name="Input 11" xfId="866" xr:uid="{00000000-0005-0000-0000-000081100000}"/>
    <cellStyle name="Input 11 2" xfId="1180" xr:uid="{00000000-0005-0000-0000-000082100000}"/>
    <cellStyle name="Input 11 2 10" xfId="2436" xr:uid="{00000000-0005-0000-0000-000083100000}"/>
    <cellStyle name="Input 11 2 10 2" xfId="3891" xr:uid="{00000000-0005-0000-0000-000084100000}"/>
    <cellStyle name="Input 11 2 10 2 2" xfId="7461" xr:uid="{00000000-0005-0000-0000-000085100000}"/>
    <cellStyle name="Input 11 2 10 2 3" xfId="9421" xr:uid="{00000000-0005-0000-0000-000086100000}"/>
    <cellStyle name="Input 11 2 10 2 4" xfId="10718" xr:uid="{00000000-0005-0000-0000-000087100000}"/>
    <cellStyle name="Input 11 2 10 3" xfId="6024" xr:uid="{00000000-0005-0000-0000-000088100000}"/>
    <cellStyle name="Input 11 2 10 4" xfId="7573" xr:uid="{00000000-0005-0000-0000-000089100000}"/>
    <cellStyle name="Input 11 2 10 5" xfId="11800" xr:uid="{00000000-0005-0000-0000-00008A100000}"/>
    <cellStyle name="Input 11 2 11" xfId="1320" xr:uid="{00000000-0005-0000-0000-00008B100000}"/>
    <cellStyle name="Input 11 2 11 2" xfId="2820" xr:uid="{00000000-0005-0000-0000-00008C100000}"/>
    <cellStyle name="Input 11 2 11 2 2" xfId="6399" xr:uid="{00000000-0005-0000-0000-00008D100000}"/>
    <cellStyle name="Input 11 2 11 2 3" xfId="8402" xr:uid="{00000000-0005-0000-0000-00008E100000}"/>
    <cellStyle name="Input 11 2 11 2 4" xfId="9725" xr:uid="{00000000-0005-0000-0000-00008F100000}"/>
    <cellStyle name="Input 11 2 11 3" xfId="4918" xr:uid="{00000000-0005-0000-0000-000090100000}"/>
    <cellStyle name="Input 11 2 11 4" xfId="7975" xr:uid="{00000000-0005-0000-0000-000091100000}"/>
    <cellStyle name="Input 11 2 11 5" xfId="8351" xr:uid="{00000000-0005-0000-0000-000092100000}"/>
    <cellStyle name="Input 11 2 12" xfId="2695" xr:uid="{00000000-0005-0000-0000-000093100000}"/>
    <cellStyle name="Input 11 2 12 2" xfId="6278" xr:uid="{00000000-0005-0000-0000-000094100000}"/>
    <cellStyle name="Input 11 2 12 3" xfId="8292" xr:uid="{00000000-0005-0000-0000-000095100000}"/>
    <cellStyle name="Input 11 2 12 4" xfId="9630" xr:uid="{00000000-0005-0000-0000-000096100000}"/>
    <cellStyle name="Input 11 2 13" xfId="4779" xr:uid="{00000000-0005-0000-0000-000097100000}"/>
    <cellStyle name="Input 11 2 14" xfId="4177" xr:uid="{00000000-0005-0000-0000-000098100000}"/>
    <cellStyle name="Input 11 2 15" xfId="7689" xr:uid="{00000000-0005-0000-0000-000099100000}"/>
    <cellStyle name="Input 11 2 2" xfId="1727" xr:uid="{00000000-0005-0000-0000-00009A100000}"/>
    <cellStyle name="Input 11 2 2 2" xfId="3204" xr:uid="{00000000-0005-0000-0000-00009B100000}"/>
    <cellStyle name="Input 11 2 2 2 2" xfId="6777" xr:uid="{00000000-0005-0000-0000-00009C100000}"/>
    <cellStyle name="Input 11 2 2 2 3" xfId="8755" xr:uid="{00000000-0005-0000-0000-00009D100000}"/>
    <cellStyle name="Input 11 2 2 2 4" xfId="10057" xr:uid="{00000000-0005-0000-0000-00009E100000}"/>
    <cellStyle name="Input 11 2 2 3" xfId="5319" xr:uid="{00000000-0005-0000-0000-00009F100000}"/>
    <cellStyle name="Input 11 2 2 4" xfId="6741" xr:uid="{00000000-0005-0000-0000-0000A0100000}"/>
    <cellStyle name="Input 11 2 2 5" xfId="11134" xr:uid="{00000000-0005-0000-0000-0000A1100000}"/>
    <cellStyle name="Input 11 2 3" xfId="1896" xr:uid="{00000000-0005-0000-0000-0000A2100000}"/>
    <cellStyle name="Input 11 2 3 2" xfId="3360" xr:uid="{00000000-0005-0000-0000-0000A3100000}"/>
    <cellStyle name="Input 11 2 3 2 2" xfId="6930" xr:uid="{00000000-0005-0000-0000-0000A4100000}"/>
    <cellStyle name="Input 11 2 3 2 3" xfId="8896" xr:uid="{00000000-0005-0000-0000-0000A5100000}"/>
    <cellStyle name="Input 11 2 3 2 4" xfId="10187" xr:uid="{00000000-0005-0000-0000-0000A6100000}"/>
    <cellStyle name="Input 11 2 3 3" xfId="5484" xr:uid="{00000000-0005-0000-0000-0000A7100000}"/>
    <cellStyle name="Input 11 2 3 4" xfId="7868" xr:uid="{00000000-0005-0000-0000-0000A8100000}"/>
    <cellStyle name="Input 11 2 3 5" xfId="11265" xr:uid="{00000000-0005-0000-0000-0000A9100000}"/>
    <cellStyle name="Input 11 2 4" xfId="1968" xr:uid="{00000000-0005-0000-0000-0000AA100000}"/>
    <cellStyle name="Input 11 2 4 2" xfId="3431" xr:uid="{00000000-0005-0000-0000-0000AB100000}"/>
    <cellStyle name="Input 11 2 4 2 2" xfId="7001" xr:uid="{00000000-0005-0000-0000-0000AC100000}"/>
    <cellStyle name="Input 11 2 4 2 3" xfId="8967" xr:uid="{00000000-0005-0000-0000-0000AD100000}"/>
    <cellStyle name="Input 11 2 4 2 4" xfId="10258" xr:uid="{00000000-0005-0000-0000-0000AE100000}"/>
    <cellStyle name="Input 11 2 4 3" xfId="5556" xr:uid="{00000000-0005-0000-0000-0000AF100000}"/>
    <cellStyle name="Input 11 2 4 4" xfId="7987" xr:uid="{00000000-0005-0000-0000-0000B0100000}"/>
    <cellStyle name="Input 11 2 4 5" xfId="11336" xr:uid="{00000000-0005-0000-0000-0000B1100000}"/>
    <cellStyle name="Input 11 2 5" xfId="2034" xr:uid="{00000000-0005-0000-0000-0000B2100000}"/>
    <cellStyle name="Input 11 2 5 2" xfId="3495" xr:uid="{00000000-0005-0000-0000-0000B3100000}"/>
    <cellStyle name="Input 11 2 5 2 2" xfId="7065" xr:uid="{00000000-0005-0000-0000-0000B4100000}"/>
    <cellStyle name="Input 11 2 5 2 3" xfId="9031" xr:uid="{00000000-0005-0000-0000-0000B5100000}"/>
    <cellStyle name="Input 11 2 5 2 4" xfId="10322" xr:uid="{00000000-0005-0000-0000-0000B6100000}"/>
    <cellStyle name="Input 11 2 5 3" xfId="5622" xr:uid="{00000000-0005-0000-0000-0000B7100000}"/>
    <cellStyle name="Input 11 2 5 4" xfId="7851" xr:uid="{00000000-0005-0000-0000-0000B8100000}"/>
    <cellStyle name="Input 11 2 5 5" xfId="11401" xr:uid="{00000000-0005-0000-0000-0000B9100000}"/>
    <cellStyle name="Input 11 2 6" xfId="1648" xr:uid="{00000000-0005-0000-0000-0000BA100000}"/>
    <cellStyle name="Input 11 2 6 2" xfId="3126" xr:uid="{00000000-0005-0000-0000-0000BB100000}"/>
    <cellStyle name="Input 11 2 6 2 2" xfId="6702" xr:uid="{00000000-0005-0000-0000-0000BC100000}"/>
    <cellStyle name="Input 11 2 6 2 3" xfId="8689" xr:uid="{00000000-0005-0000-0000-0000BD100000}"/>
    <cellStyle name="Input 11 2 6 2 4" xfId="10002" xr:uid="{00000000-0005-0000-0000-0000BE100000}"/>
    <cellStyle name="Input 11 2 6 3" xfId="5242" xr:uid="{00000000-0005-0000-0000-0000BF100000}"/>
    <cellStyle name="Input 11 2 6 4" xfId="4067" xr:uid="{00000000-0005-0000-0000-0000C0100000}"/>
    <cellStyle name="Input 11 2 6 5" xfId="11080" xr:uid="{00000000-0005-0000-0000-0000C1100000}"/>
    <cellStyle name="Input 11 2 7" xfId="2171" xr:uid="{00000000-0005-0000-0000-0000C2100000}"/>
    <cellStyle name="Input 11 2 7 2" xfId="3630" xr:uid="{00000000-0005-0000-0000-0000C3100000}"/>
    <cellStyle name="Input 11 2 7 2 2" xfId="7200" xr:uid="{00000000-0005-0000-0000-0000C4100000}"/>
    <cellStyle name="Input 11 2 7 2 3" xfId="9165" xr:uid="{00000000-0005-0000-0000-0000C5100000}"/>
    <cellStyle name="Input 11 2 7 2 4" xfId="10457" xr:uid="{00000000-0005-0000-0000-0000C6100000}"/>
    <cellStyle name="Input 11 2 7 3" xfId="5759" xr:uid="{00000000-0005-0000-0000-0000C7100000}"/>
    <cellStyle name="Input 11 2 7 4" xfId="5225" xr:uid="{00000000-0005-0000-0000-0000C8100000}"/>
    <cellStyle name="Input 11 2 7 5" xfId="11537" xr:uid="{00000000-0005-0000-0000-0000C9100000}"/>
    <cellStyle name="Input 11 2 8" xfId="2275" xr:uid="{00000000-0005-0000-0000-0000CA100000}"/>
    <cellStyle name="Input 11 2 8 2" xfId="3732" xr:uid="{00000000-0005-0000-0000-0000CB100000}"/>
    <cellStyle name="Input 11 2 8 2 2" xfId="7302" xr:uid="{00000000-0005-0000-0000-0000CC100000}"/>
    <cellStyle name="Input 11 2 8 2 3" xfId="9265" xr:uid="{00000000-0005-0000-0000-0000CD100000}"/>
    <cellStyle name="Input 11 2 8 2 4" xfId="10559" xr:uid="{00000000-0005-0000-0000-0000CE100000}"/>
    <cellStyle name="Input 11 2 8 3" xfId="5863" xr:uid="{00000000-0005-0000-0000-0000CF100000}"/>
    <cellStyle name="Input 11 2 8 4" xfId="5259" xr:uid="{00000000-0005-0000-0000-0000D0100000}"/>
    <cellStyle name="Input 11 2 8 5" xfId="11640" xr:uid="{00000000-0005-0000-0000-0000D1100000}"/>
    <cellStyle name="Input 11 2 9" xfId="2367" xr:uid="{00000000-0005-0000-0000-0000D2100000}"/>
    <cellStyle name="Input 11 2 9 2" xfId="3823" xr:uid="{00000000-0005-0000-0000-0000D3100000}"/>
    <cellStyle name="Input 11 2 9 2 2" xfId="7393" xr:uid="{00000000-0005-0000-0000-0000D4100000}"/>
    <cellStyle name="Input 11 2 9 2 3" xfId="9355" xr:uid="{00000000-0005-0000-0000-0000D5100000}"/>
    <cellStyle name="Input 11 2 9 2 4" xfId="10650" xr:uid="{00000000-0005-0000-0000-0000D6100000}"/>
    <cellStyle name="Input 11 2 9 3" xfId="5955" xr:uid="{00000000-0005-0000-0000-0000D7100000}"/>
    <cellStyle name="Input 11 2 9 4" xfId="4698" xr:uid="{00000000-0005-0000-0000-0000D8100000}"/>
    <cellStyle name="Input 11 2 9 5" xfId="11731" xr:uid="{00000000-0005-0000-0000-0000D9100000}"/>
    <cellStyle name="Input 11 3" xfId="1514" xr:uid="{00000000-0005-0000-0000-0000DA100000}"/>
    <cellStyle name="Input 11 3 2" xfId="2998" xr:uid="{00000000-0005-0000-0000-0000DB100000}"/>
    <cellStyle name="Input 11 3 2 2" xfId="6575" xr:uid="{00000000-0005-0000-0000-0000DC100000}"/>
    <cellStyle name="Input 11 3 2 3" xfId="8576" xr:uid="{00000000-0005-0000-0000-0000DD100000}"/>
    <cellStyle name="Input 11 3 2 4" xfId="9899" xr:uid="{00000000-0005-0000-0000-0000DE100000}"/>
    <cellStyle name="Input 11 3 3" xfId="5111" xr:uid="{00000000-0005-0000-0000-0000DF100000}"/>
    <cellStyle name="Input 11 3 4" xfId="7613" xr:uid="{00000000-0005-0000-0000-0000E0100000}"/>
    <cellStyle name="Input 11 3 5" xfId="10981" xr:uid="{00000000-0005-0000-0000-0000E1100000}"/>
    <cellStyle name="Input 11 4" xfId="1399" xr:uid="{00000000-0005-0000-0000-0000E2100000}"/>
    <cellStyle name="Input 11 4 2" xfId="2895" xr:uid="{00000000-0005-0000-0000-0000E3100000}"/>
    <cellStyle name="Input 11 4 2 2" xfId="6474" xr:uid="{00000000-0005-0000-0000-0000E4100000}"/>
    <cellStyle name="Input 11 4 2 3" xfId="8475" xr:uid="{00000000-0005-0000-0000-0000E5100000}"/>
    <cellStyle name="Input 11 4 2 4" xfId="9800" xr:uid="{00000000-0005-0000-0000-0000E6100000}"/>
    <cellStyle name="Input 11 4 3" xfId="4997" xr:uid="{00000000-0005-0000-0000-0000E7100000}"/>
    <cellStyle name="Input 11 4 4" xfId="4341" xr:uid="{00000000-0005-0000-0000-0000E8100000}"/>
    <cellStyle name="Input 11 4 5" xfId="10882" xr:uid="{00000000-0005-0000-0000-0000E9100000}"/>
    <cellStyle name="Input 11 5" xfId="1678" xr:uid="{00000000-0005-0000-0000-0000EA100000}"/>
    <cellStyle name="Input 11 5 2" xfId="3156" xr:uid="{00000000-0005-0000-0000-0000EB100000}"/>
    <cellStyle name="Input 11 5 2 2" xfId="6730" xr:uid="{00000000-0005-0000-0000-0000EC100000}"/>
    <cellStyle name="Input 11 5 2 3" xfId="8711" xr:uid="{00000000-0005-0000-0000-0000ED100000}"/>
    <cellStyle name="Input 11 5 2 4" xfId="10016" xr:uid="{00000000-0005-0000-0000-0000EE100000}"/>
    <cellStyle name="Input 11 5 3" xfId="5270" xr:uid="{00000000-0005-0000-0000-0000EF100000}"/>
    <cellStyle name="Input 11 5 4" xfId="4366" xr:uid="{00000000-0005-0000-0000-0000F0100000}"/>
    <cellStyle name="Input 11 5 5" xfId="11093" xr:uid="{00000000-0005-0000-0000-0000F1100000}"/>
    <cellStyle name="Input 11 6" xfId="2576" xr:uid="{00000000-0005-0000-0000-0000F2100000}"/>
    <cellStyle name="Input 11 6 2" xfId="6164" xr:uid="{00000000-0005-0000-0000-0000F3100000}"/>
    <cellStyle name="Input 11 6 3" xfId="8190" xr:uid="{00000000-0005-0000-0000-0000F4100000}"/>
    <cellStyle name="Input 11 6 4" xfId="9541" xr:uid="{00000000-0005-0000-0000-0000F5100000}"/>
    <cellStyle name="Input 11 7" xfId="4480" xr:uid="{00000000-0005-0000-0000-0000F6100000}"/>
    <cellStyle name="Input 11 8" xfId="4324" xr:uid="{00000000-0005-0000-0000-0000F7100000}"/>
    <cellStyle name="Input 11 9" xfId="7718" xr:uid="{00000000-0005-0000-0000-0000F8100000}"/>
    <cellStyle name="Input 12" xfId="867" xr:uid="{00000000-0005-0000-0000-0000F9100000}"/>
    <cellStyle name="Input 12 2" xfId="1181" xr:uid="{00000000-0005-0000-0000-0000FA100000}"/>
    <cellStyle name="Input 12 2 10" xfId="2437" xr:uid="{00000000-0005-0000-0000-0000FB100000}"/>
    <cellStyle name="Input 12 2 10 2" xfId="3892" xr:uid="{00000000-0005-0000-0000-0000FC100000}"/>
    <cellStyle name="Input 12 2 10 2 2" xfId="7462" xr:uid="{00000000-0005-0000-0000-0000FD100000}"/>
    <cellStyle name="Input 12 2 10 2 3" xfId="9422" xr:uid="{00000000-0005-0000-0000-0000FE100000}"/>
    <cellStyle name="Input 12 2 10 2 4" xfId="10719" xr:uid="{00000000-0005-0000-0000-0000FF100000}"/>
    <cellStyle name="Input 12 2 10 3" xfId="6025" xr:uid="{00000000-0005-0000-0000-000000110000}"/>
    <cellStyle name="Input 12 2 10 4" xfId="7574" xr:uid="{00000000-0005-0000-0000-000001110000}"/>
    <cellStyle name="Input 12 2 10 5" xfId="11801" xr:uid="{00000000-0005-0000-0000-000002110000}"/>
    <cellStyle name="Input 12 2 11" xfId="2423" xr:uid="{00000000-0005-0000-0000-000003110000}"/>
    <cellStyle name="Input 12 2 11 2" xfId="3879" xr:uid="{00000000-0005-0000-0000-000004110000}"/>
    <cellStyle name="Input 12 2 11 2 2" xfId="7449" xr:uid="{00000000-0005-0000-0000-000005110000}"/>
    <cellStyle name="Input 12 2 11 2 3" xfId="9411" xr:uid="{00000000-0005-0000-0000-000006110000}"/>
    <cellStyle name="Input 12 2 11 2 4" xfId="10706" xr:uid="{00000000-0005-0000-0000-000007110000}"/>
    <cellStyle name="Input 12 2 11 3" xfId="6011" xr:uid="{00000000-0005-0000-0000-000008110000}"/>
    <cellStyle name="Input 12 2 11 4" xfId="6237" xr:uid="{00000000-0005-0000-0000-000009110000}"/>
    <cellStyle name="Input 12 2 11 5" xfId="11787" xr:uid="{00000000-0005-0000-0000-00000A110000}"/>
    <cellStyle name="Input 12 2 12" xfId="2696" xr:uid="{00000000-0005-0000-0000-00000B110000}"/>
    <cellStyle name="Input 12 2 12 2" xfId="6279" xr:uid="{00000000-0005-0000-0000-00000C110000}"/>
    <cellStyle name="Input 12 2 12 3" xfId="8293" xr:uid="{00000000-0005-0000-0000-00000D110000}"/>
    <cellStyle name="Input 12 2 12 4" xfId="9631" xr:uid="{00000000-0005-0000-0000-00000E110000}"/>
    <cellStyle name="Input 12 2 13" xfId="4780" xr:uid="{00000000-0005-0000-0000-00000F110000}"/>
    <cellStyle name="Input 12 2 14" xfId="4176" xr:uid="{00000000-0005-0000-0000-000010110000}"/>
    <cellStyle name="Input 12 2 15" xfId="7698" xr:uid="{00000000-0005-0000-0000-000011110000}"/>
    <cellStyle name="Input 12 2 2" xfId="1728" xr:uid="{00000000-0005-0000-0000-000012110000}"/>
    <cellStyle name="Input 12 2 2 2" xfId="3205" xr:uid="{00000000-0005-0000-0000-000013110000}"/>
    <cellStyle name="Input 12 2 2 2 2" xfId="6778" xr:uid="{00000000-0005-0000-0000-000014110000}"/>
    <cellStyle name="Input 12 2 2 2 3" xfId="8756" xr:uid="{00000000-0005-0000-0000-000015110000}"/>
    <cellStyle name="Input 12 2 2 2 4" xfId="10058" xr:uid="{00000000-0005-0000-0000-000016110000}"/>
    <cellStyle name="Input 12 2 2 3" xfId="5320" xr:uid="{00000000-0005-0000-0000-000017110000}"/>
    <cellStyle name="Input 12 2 2 4" xfId="4401" xr:uid="{00000000-0005-0000-0000-000018110000}"/>
    <cellStyle name="Input 12 2 2 5" xfId="11135" xr:uid="{00000000-0005-0000-0000-000019110000}"/>
    <cellStyle name="Input 12 2 3" xfId="1897" xr:uid="{00000000-0005-0000-0000-00001A110000}"/>
    <cellStyle name="Input 12 2 3 2" xfId="3361" xr:uid="{00000000-0005-0000-0000-00001B110000}"/>
    <cellStyle name="Input 12 2 3 2 2" xfId="6931" xr:uid="{00000000-0005-0000-0000-00001C110000}"/>
    <cellStyle name="Input 12 2 3 2 3" xfId="8897" xr:uid="{00000000-0005-0000-0000-00001D110000}"/>
    <cellStyle name="Input 12 2 3 2 4" xfId="10188" xr:uid="{00000000-0005-0000-0000-00001E110000}"/>
    <cellStyle name="Input 12 2 3 3" xfId="5485" xr:uid="{00000000-0005-0000-0000-00001F110000}"/>
    <cellStyle name="Input 12 2 3 4" xfId="7852" xr:uid="{00000000-0005-0000-0000-000020110000}"/>
    <cellStyle name="Input 12 2 3 5" xfId="11266" xr:uid="{00000000-0005-0000-0000-000021110000}"/>
    <cellStyle name="Input 12 2 4" xfId="1969" xr:uid="{00000000-0005-0000-0000-000022110000}"/>
    <cellStyle name="Input 12 2 4 2" xfId="3432" xr:uid="{00000000-0005-0000-0000-000023110000}"/>
    <cellStyle name="Input 12 2 4 2 2" xfId="7002" xr:uid="{00000000-0005-0000-0000-000024110000}"/>
    <cellStyle name="Input 12 2 4 2 3" xfId="8968" xr:uid="{00000000-0005-0000-0000-000025110000}"/>
    <cellStyle name="Input 12 2 4 2 4" xfId="10259" xr:uid="{00000000-0005-0000-0000-000026110000}"/>
    <cellStyle name="Input 12 2 4 3" xfId="5557" xr:uid="{00000000-0005-0000-0000-000027110000}"/>
    <cellStyle name="Input 12 2 4 4" xfId="7968" xr:uid="{00000000-0005-0000-0000-000028110000}"/>
    <cellStyle name="Input 12 2 4 5" xfId="11337" xr:uid="{00000000-0005-0000-0000-000029110000}"/>
    <cellStyle name="Input 12 2 5" xfId="2035" xr:uid="{00000000-0005-0000-0000-00002A110000}"/>
    <cellStyle name="Input 12 2 5 2" xfId="3496" xr:uid="{00000000-0005-0000-0000-00002B110000}"/>
    <cellStyle name="Input 12 2 5 2 2" xfId="7066" xr:uid="{00000000-0005-0000-0000-00002C110000}"/>
    <cellStyle name="Input 12 2 5 2 3" xfId="9032" xr:uid="{00000000-0005-0000-0000-00002D110000}"/>
    <cellStyle name="Input 12 2 5 2 4" xfId="10323" xr:uid="{00000000-0005-0000-0000-00002E110000}"/>
    <cellStyle name="Input 12 2 5 3" xfId="5623" xr:uid="{00000000-0005-0000-0000-00002F110000}"/>
    <cellStyle name="Input 12 2 5 4" xfId="7607" xr:uid="{00000000-0005-0000-0000-000030110000}"/>
    <cellStyle name="Input 12 2 5 5" xfId="11402" xr:uid="{00000000-0005-0000-0000-000031110000}"/>
    <cellStyle name="Input 12 2 6" xfId="1503" xr:uid="{00000000-0005-0000-0000-000032110000}"/>
    <cellStyle name="Input 12 2 6 2" xfId="2988" xr:uid="{00000000-0005-0000-0000-000033110000}"/>
    <cellStyle name="Input 12 2 6 2 2" xfId="6565" xr:uid="{00000000-0005-0000-0000-000034110000}"/>
    <cellStyle name="Input 12 2 6 2 3" xfId="8566" xr:uid="{00000000-0005-0000-0000-000035110000}"/>
    <cellStyle name="Input 12 2 6 2 4" xfId="9889" xr:uid="{00000000-0005-0000-0000-000036110000}"/>
    <cellStyle name="Input 12 2 6 3" xfId="5100" xr:uid="{00000000-0005-0000-0000-000037110000}"/>
    <cellStyle name="Input 12 2 6 4" xfId="8665" xr:uid="{00000000-0005-0000-0000-000038110000}"/>
    <cellStyle name="Input 12 2 6 5" xfId="10970" xr:uid="{00000000-0005-0000-0000-000039110000}"/>
    <cellStyle name="Input 12 2 7" xfId="2172" xr:uid="{00000000-0005-0000-0000-00003A110000}"/>
    <cellStyle name="Input 12 2 7 2" xfId="3631" xr:uid="{00000000-0005-0000-0000-00003B110000}"/>
    <cellStyle name="Input 12 2 7 2 2" xfId="7201" xr:uid="{00000000-0005-0000-0000-00003C110000}"/>
    <cellStyle name="Input 12 2 7 2 3" xfId="9166" xr:uid="{00000000-0005-0000-0000-00003D110000}"/>
    <cellStyle name="Input 12 2 7 2 4" xfId="10458" xr:uid="{00000000-0005-0000-0000-00003E110000}"/>
    <cellStyle name="Input 12 2 7 3" xfId="5760" xr:uid="{00000000-0005-0000-0000-00003F110000}"/>
    <cellStyle name="Input 12 2 7 4" xfId="4508" xr:uid="{00000000-0005-0000-0000-000040110000}"/>
    <cellStyle name="Input 12 2 7 5" xfId="11538" xr:uid="{00000000-0005-0000-0000-000041110000}"/>
    <cellStyle name="Input 12 2 8" xfId="2276" xr:uid="{00000000-0005-0000-0000-000042110000}"/>
    <cellStyle name="Input 12 2 8 2" xfId="3733" xr:uid="{00000000-0005-0000-0000-000043110000}"/>
    <cellStyle name="Input 12 2 8 2 2" xfId="7303" xr:uid="{00000000-0005-0000-0000-000044110000}"/>
    <cellStyle name="Input 12 2 8 2 3" xfId="9266" xr:uid="{00000000-0005-0000-0000-000045110000}"/>
    <cellStyle name="Input 12 2 8 2 4" xfId="10560" xr:uid="{00000000-0005-0000-0000-000046110000}"/>
    <cellStyle name="Input 12 2 8 3" xfId="5864" xr:uid="{00000000-0005-0000-0000-000047110000}"/>
    <cellStyle name="Input 12 2 8 4" xfId="6720" xr:uid="{00000000-0005-0000-0000-000048110000}"/>
    <cellStyle name="Input 12 2 8 5" xfId="11641" xr:uid="{00000000-0005-0000-0000-000049110000}"/>
    <cellStyle name="Input 12 2 9" xfId="2368" xr:uid="{00000000-0005-0000-0000-00004A110000}"/>
    <cellStyle name="Input 12 2 9 2" xfId="3824" xr:uid="{00000000-0005-0000-0000-00004B110000}"/>
    <cellStyle name="Input 12 2 9 2 2" xfId="7394" xr:uid="{00000000-0005-0000-0000-00004C110000}"/>
    <cellStyle name="Input 12 2 9 2 3" xfId="9356" xr:uid="{00000000-0005-0000-0000-00004D110000}"/>
    <cellStyle name="Input 12 2 9 2 4" xfId="10651" xr:uid="{00000000-0005-0000-0000-00004E110000}"/>
    <cellStyle name="Input 12 2 9 3" xfId="5956" xr:uid="{00000000-0005-0000-0000-00004F110000}"/>
    <cellStyle name="Input 12 2 9 4" xfId="4855" xr:uid="{00000000-0005-0000-0000-000050110000}"/>
    <cellStyle name="Input 12 2 9 5" xfId="11732" xr:uid="{00000000-0005-0000-0000-000051110000}"/>
    <cellStyle name="Input 12 3" xfId="1515" xr:uid="{00000000-0005-0000-0000-000052110000}"/>
    <cellStyle name="Input 12 3 2" xfId="2999" xr:uid="{00000000-0005-0000-0000-000053110000}"/>
    <cellStyle name="Input 12 3 2 2" xfId="6576" xr:uid="{00000000-0005-0000-0000-000054110000}"/>
    <cellStyle name="Input 12 3 2 3" xfId="8577" xr:uid="{00000000-0005-0000-0000-000055110000}"/>
    <cellStyle name="Input 12 3 2 4" xfId="9900" xr:uid="{00000000-0005-0000-0000-000056110000}"/>
    <cellStyle name="Input 12 3 3" xfId="5112" xr:uid="{00000000-0005-0000-0000-000057110000}"/>
    <cellStyle name="Input 12 3 4" xfId="7897" xr:uid="{00000000-0005-0000-0000-000058110000}"/>
    <cellStyle name="Input 12 3 5" xfId="10982" xr:uid="{00000000-0005-0000-0000-000059110000}"/>
    <cellStyle name="Input 12 4" xfId="1398" xr:uid="{00000000-0005-0000-0000-00005A110000}"/>
    <cellStyle name="Input 12 4 2" xfId="2894" xr:uid="{00000000-0005-0000-0000-00005B110000}"/>
    <cellStyle name="Input 12 4 2 2" xfId="6473" xr:uid="{00000000-0005-0000-0000-00005C110000}"/>
    <cellStyle name="Input 12 4 2 3" xfId="8474" xr:uid="{00000000-0005-0000-0000-00005D110000}"/>
    <cellStyle name="Input 12 4 2 4" xfId="9799" xr:uid="{00000000-0005-0000-0000-00005E110000}"/>
    <cellStyle name="Input 12 4 3" xfId="4996" xr:uid="{00000000-0005-0000-0000-00005F110000}"/>
    <cellStyle name="Input 12 4 4" xfId="4340" xr:uid="{00000000-0005-0000-0000-000060110000}"/>
    <cellStyle name="Input 12 4 5" xfId="10881" xr:uid="{00000000-0005-0000-0000-000061110000}"/>
    <cellStyle name="Input 12 5" xfId="1437" xr:uid="{00000000-0005-0000-0000-000062110000}"/>
    <cellStyle name="Input 12 5 2" xfId="2924" xr:uid="{00000000-0005-0000-0000-000063110000}"/>
    <cellStyle name="Input 12 5 2 2" xfId="6502" xr:uid="{00000000-0005-0000-0000-000064110000}"/>
    <cellStyle name="Input 12 5 2 3" xfId="8504" xr:uid="{00000000-0005-0000-0000-000065110000}"/>
    <cellStyle name="Input 12 5 2 4" xfId="9827" xr:uid="{00000000-0005-0000-0000-000066110000}"/>
    <cellStyle name="Input 12 5 3" xfId="5035" xr:uid="{00000000-0005-0000-0000-000067110000}"/>
    <cellStyle name="Input 12 5 4" xfId="4766" xr:uid="{00000000-0005-0000-0000-000068110000}"/>
    <cellStyle name="Input 12 5 5" xfId="10908" xr:uid="{00000000-0005-0000-0000-000069110000}"/>
    <cellStyle name="Input 12 6" xfId="2577" xr:uid="{00000000-0005-0000-0000-00006A110000}"/>
    <cellStyle name="Input 12 6 2" xfId="6165" xr:uid="{00000000-0005-0000-0000-00006B110000}"/>
    <cellStyle name="Input 12 6 3" xfId="8191" xr:uid="{00000000-0005-0000-0000-00006C110000}"/>
    <cellStyle name="Input 12 6 4" xfId="9542" xr:uid="{00000000-0005-0000-0000-00006D110000}"/>
    <cellStyle name="Input 12 7" xfId="4481" xr:uid="{00000000-0005-0000-0000-00006E110000}"/>
    <cellStyle name="Input 12 8" xfId="4037" xr:uid="{00000000-0005-0000-0000-00006F110000}"/>
    <cellStyle name="Input 12 9" xfId="8314" xr:uid="{00000000-0005-0000-0000-000070110000}"/>
    <cellStyle name="Input 13" xfId="868" xr:uid="{00000000-0005-0000-0000-000071110000}"/>
    <cellStyle name="Input 13 2" xfId="1182" xr:uid="{00000000-0005-0000-0000-000072110000}"/>
    <cellStyle name="Input 13 2 10" xfId="2438" xr:uid="{00000000-0005-0000-0000-000073110000}"/>
    <cellStyle name="Input 13 2 10 2" xfId="3893" xr:uid="{00000000-0005-0000-0000-000074110000}"/>
    <cellStyle name="Input 13 2 10 2 2" xfId="7463" xr:uid="{00000000-0005-0000-0000-000075110000}"/>
    <cellStyle name="Input 13 2 10 2 3" xfId="9423" xr:uid="{00000000-0005-0000-0000-000076110000}"/>
    <cellStyle name="Input 13 2 10 2 4" xfId="10720" xr:uid="{00000000-0005-0000-0000-000077110000}"/>
    <cellStyle name="Input 13 2 10 3" xfId="6026" xr:uid="{00000000-0005-0000-0000-000078110000}"/>
    <cellStyle name="Input 13 2 10 4" xfId="7575" xr:uid="{00000000-0005-0000-0000-000079110000}"/>
    <cellStyle name="Input 13 2 10 5" xfId="11802" xr:uid="{00000000-0005-0000-0000-00007A110000}"/>
    <cellStyle name="Input 13 2 11" xfId="2100" xr:uid="{00000000-0005-0000-0000-00007B110000}"/>
    <cellStyle name="Input 13 2 11 2" xfId="3559" xr:uid="{00000000-0005-0000-0000-00007C110000}"/>
    <cellStyle name="Input 13 2 11 2 2" xfId="7129" xr:uid="{00000000-0005-0000-0000-00007D110000}"/>
    <cellStyle name="Input 13 2 11 2 3" xfId="9094" xr:uid="{00000000-0005-0000-0000-00007E110000}"/>
    <cellStyle name="Input 13 2 11 2 4" xfId="10386" xr:uid="{00000000-0005-0000-0000-00007F110000}"/>
    <cellStyle name="Input 13 2 11 3" xfId="5688" xr:uid="{00000000-0005-0000-0000-000080110000}"/>
    <cellStyle name="Input 13 2 11 4" xfId="7874" xr:uid="{00000000-0005-0000-0000-000081110000}"/>
    <cellStyle name="Input 13 2 11 5" xfId="11466" xr:uid="{00000000-0005-0000-0000-000082110000}"/>
    <cellStyle name="Input 13 2 12" xfId="2697" xr:uid="{00000000-0005-0000-0000-000083110000}"/>
    <cellStyle name="Input 13 2 12 2" xfId="6280" xr:uid="{00000000-0005-0000-0000-000084110000}"/>
    <cellStyle name="Input 13 2 12 3" xfId="8294" xr:uid="{00000000-0005-0000-0000-000085110000}"/>
    <cellStyle name="Input 13 2 12 4" xfId="9632" xr:uid="{00000000-0005-0000-0000-000086110000}"/>
    <cellStyle name="Input 13 2 13" xfId="4781" xr:uid="{00000000-0005-0000-0000-000087110000}"/>
    <cellStyle name="Input 13 2 14" xfId="4175" xr:uid="{00000000-0005-0000-0000-000088110000}"/>
    <cellStyle name="Input 13 2 15" xfId="8093" xr:uid="{00000000-0005-0000-0000-000089110000}"/>
    <cellStyle name="Input 13 2 2" xfId="1729" xr:uid="{00000000-0005-0000-0000-00008A110000}"/>
    <cellStyle name="Input 13 2 2 2" xfId="3206" xr:uid="{00000000-0005-0000-0000-00008B110000}"/>
    <cellStyle name="Input 13 2 2 2 2" xfId="6779" xr:uid="{00000000-0005-0000-0000-00008C110000}"/>
    <cellStyle name="Input 13 2 2 2 3" xfId="8757" xr:uid="{00000000-0005-0000-0000-00008D110000}"/>
    <cellStyle name="Input 13 2 2 2 4" xfId="10059" xr:uid="{00000000-0005-0000-0000-00008E110000}"/>
    <cellStyle name="Input 13 2 2 3" xfId="5321" xr:uid="{00000000-0005-0000-0000-00008F110000}"/>
    <cellStyle name="Input 13 2 2 4" xfId="4402" xr:uid="{00000000-0005-0000-0000-000090110000}"/>
    <cellStyle name="Input 13 2 2 5" xfId="11136" xr:uid="{00000000-0005-0000-0000-000091110000}"/>
    <cellStyle name="Input 13 2 3" xfId="1898" xr:uid="{00000000-0005-0000-0000-000092110000}"/>
    <cellStyle name="Input 13 2 3 2" xfId="3362" xr:uid="{00000000-0005-0000-0000-000093110000}"/>
    <cellStyle name="Input 13 2 3 2 2" xfId="6932" xr:uid="{00000000-0005-0000-0000-000094110000}"/>
    <cellStyle name="Input 13 2 3 2 3" xfId="8898" xr:uid="{00000000-0005-0000-0000-000095110000}"/>
    <cellStyle name="Input 13 2 3 2 4" xfId="10189" xr:uid="{00000000-0005-0000-0000-000096110000}"/>
    <cellStyle name="Input 13 2 3 3" xfId="5486" xr:uid="{00000000-0005-0000-0000-000097110000}"/>
    <cellStyle name="Input 13 2 3 4" xfId="4090" xr:uid="{00000000-0005-0000-0000-000098110000}"/>
    <cellStyle name="Input 13 2 3 5" xfId="11267" xr:uid="{00000000-0005-0000-0000-000099110000}"/>
    <cellStyle name="Input 13 2 4" xfId="1970" xr:uid="{00000000-0005-0000-0000-00009A110000}"/>
    <cellStyle name="Input 13 2 4 2" xfId="3433" xr:uid="{00000000-0005-0000-0000-00009B110000}"/>
    <cellStyle name="Input 13 2 4 2 2" xfId="7003" xr:uid="{00000000-0005-0000-0000-00009C110000}"/>
    <cellStyle name="Input 13 2 4 2 3" xfId="8969" xr:uid="{00000000-0005-0000-0000-00009D110000}"/>
    <cellStyle name="Input 13 2 4 2 4" xfId="10260" xr:uid="{00000000-0005-0000-0000-00009E110000}"/>
    <cellStyle name="Input 13 2 4 3" xfId="5558" xr:uid="{00000000-0005-0000-0000-00009F110000}"/>
    <cellStyle name="Input 13 2 4 4" xfId="7946" xr:uid="{00000000-0005-0000-0000-0000A0110000}"/>
    <cellStyle name="Input 13 2 4 5" xfId="11338" xr:uid="{00000000-0005-0000-0000-0000A1110000}"/>
    <cellStyle name="Input 13 2 5" xfId="2036" xr:uid="{00000000-0005-0000-0000-0000A2110000}"/>
    <cellStyle name="Input 13 2 5 2" xfId="3497" xr:uid="{00000000-0005-0000-0000-0000A3110000}"/>
    <cellStyle name="Input 13 2 5 2 2" xfId="7067" xr:uid="{00000000-0005-0000-0000-0000A4110000}"/>
    <cellStyle name="Input 13 2 5 2 3" xfId="9033" xr:uid="{00000000-0005-0000-0000-0000A5110000}"/>
    <cellStyle name="Input 13 2 5 2 4" xfId="10324" xr:uid="{00000000-0005-0000-0000-0000A6110000}"/>
    <cellStyle name="Input 13 2 5 3" xfId="5624" xr:uid="{00000000-0005-0000-0000-0000A7110000}"/>
    <cellStyle name="Input 13 2 5 4" xfId="7619" xr:uid="{00000000-0005-0000-0000-0000A8110000}"/>
    <cellStyle name="Input 13 2 5 5" xfId="11403" xr:uid="{00000000-0005-0000-0000-0000A9110000}"/>
    <cellStyle name="Input 13 2 6" xfId="1504" xr:uid="{00000000-0005-0000-0000-0000AA110000}"/>
    <cellStyle name="Input 13 2 6 2" xfId="2989" xr:uid="{00000000-0005-0000-0000-0000AB110000}"/>
    <cellStyle name="Input 13 2 6 2 2" xfId="6566" xr:uid="{00000000-0005-0000-0000-0000AC110000}"/>
    <cellStyle name="Input 13 2 6 2 3" xfId="8567" xr:uid="{00000000-0005-0000-0000-0000AD110000}"/>
    <cellStyle name="Input 13 2 6 2 4" xfId="9890" xr:uid="{00000000-0005-0000-0000-0000AE110000}"/>
    <cellStyle name="Input 13 2 6 3" xfId="5101" xr:uid="{00000000-0005-0000-0000-0000AF110000}"/>
    <cellStyle name="Input 13 2 6 4" xfId="7730" xr:uid="{00000000-0005-0000-0000-0000B0110000}"/>
    <cellStyle name="Input 13 2 6 5" xfId="10971" xr:uid="{00000000-0005-0000-0000-0000B1110000}"/>
    <cellStyle name="Input 13 2 7" xfId="2173" xr:uid="{00000000-0005-0000-0000-0000B2110000}"/>
    <cellStyle name="Input 13 2 7 2" xfId="3632" xr:uid="{00000000-0005-0000-0000-0000B3110000}"/>
    <cellStyle name="Input 13 2 7 2 2" xfId="7202" xr:uid="{00000000-0005-0000-0000-0000B4110000}"/>
    <cellStyle name="Input 13 2 7 2 3" xfId="9167" xr:uid="{00000000-0005-0000-0000-0000B5110000}"/>
    <cellStyle name="Input 13 2 7 2 4" xfId="10459" xr:uid="{00000000-0005-0000-0000-0000B6110000}"/>
    <cellStyle name="Input 13 2 7 3" xfId="5761" xr:uid="{00000000-0005-0000-0000-0000B7110000}"/>
    <cellStyle name="Input 13 2 7 4" xfId="5139" xr:uid="{00000000-0005-0000-0000-0000B8110000}"/>
    <cellStyle name="Input 13 2 7 5" xfId="11539" xr:uid="{00000000-0005-0000-0000-0000B9110000}"/>
    <cellStyle name="Input 13 2 8" xfId="2277" xr:uid="{00000000-0005-0000-0000-0000BA110000}"/>
    <cellStyle name="Input 13 2 8 2" xfId="3734" xr:uid="{00000000-0005-0000-0000-0000BB110000}"/>
    <cellStyle name="Input 13 2 8 2 2" xfId="7304" xr:uid="{00000000-0005-0000-0000-0000BC110000}"/>
    <cellStyle name="Input 13 2 8 2 3" xfId="9267" xr:uid="{00000000-0005-0000-0000-0000BD110000}"/>
    <cellStyle name="Input 13 2 8 2 4" xfId="10561" xr:uid="{00000000-0005-0000-0000-0000BE110000}"/>
    <cellStyle name="Input 13 2 8 3" xfId="5865" xr:uid="{00000000-0005-0000-0000-0000BF110000}"/>
    <cellStyle name="Input 13 2 8 4" xfId="6233" xr:uid="{00000000-0005-0000-0000-0000C0110000}"/>
    <cellStyle name="Input 13 2 8 5" xfId="11642" xr:uid="{00000000-0005-0000-0000-0000C1110000}"/>
    <cellStyle name="Input 13 2 9" xfId="2369" xr:uid="{00000000-0005-0000-0000-0000C2110000}"/>
    <cellStyle name="Input 13 2 9 2" xfId="3825" xr:uid="{00000000-0005-0000-0000-0000C3110000}"/>
    <cellStyle name="Input 13 2 9 2 2" xfId="7395" xr:uid="{00000000-0005-0000-0000-0000C4110000}"/>
    <cellStyle name="Input 13 2 9 2 3" xfId="9357" xr:uid="{00000000-0005-0000-0000-0000C5110000}"/>
    <cellStyle name="Input 13 2 9 2 4" xfId="10652" xr:uid="{00000000-0005-0000-0000-0000C6110000}"/>
    <cellStyle name="Input 13 2 9 3" xfId="5957" xr:uid="{00000000-0005-0000-0000-0000C7110000}"/>
    <cellStyle name="Input 13 2 9 4" xfId="5385" xr:uid="{00000000-0005-0000-0000-0000C8110000}"/>
    <cellStyle name="Input 13 2 9 5" xfId="11733" xr:uid="{00000000-0005-0000-0000-0000C9110000}"/>
    <cellStyle name="Input 13 3" xfId="1516" xr:uid="{00000000-0005-0000-0000-0000CA110000}"/>
    <cellStyle name="Input 13 3 2" xfId="3000" xr:uid="{00000000-0005-0000-0000-0000CB110000}"/>
    <cellStyle name="Input 13 3 2 2" xfId="6577" xr:uid="{00000000-0005-0000-0000-0000CC110000}"/>
    <cellStyle name="Input 13 3 2 3" xfId="8578" xr:uid="{00000000-0005-0000-0000-0000CD110000}"/>
    <cellStyle name="Input 13 3 2 4" xfId="9901" xr:uid="{00000000-0005-0000-0000-0000CE110000}"/>
    <cellStyle name="Input 13 3 3" xfId="5113" xr:uid="{00000000-0005-0000-0000-0000CF110000}"/>
    <cellStyle name="Input 13 3 4" xfId="8532" xr:uid="{00000000-0005-0000-0000-0000D0110000}"/>
    <cellStyle name="Input 13 3 5" xfId="10983" xr:uid="{00000000-0005-0000-0000-0000D1110000}"/>
    <cellStyle name="Input 13 4" xfId="1837" xr:uid="{00000000-0005-0000-0000-0000D2110000}"/>
    <cellStyle name="Input 13 4 2" xfId="3313" xr:uid="{00000000-0005-0000-0000-0000D3110000}"/>
    <cellStyle name="Input 13 4 2 2" xfId="6883" xr:uid="{00000000-0005-0000-0000-0000D4110000}"/>
    <cellStyle name="Input 13 4 2 3" xfId="8851" xr:uid="{00000000-0005-0000-0000-0000D5110000}"/>
    <cellStyle name="Input 13 4 2 4" xfId="10143" xr:uid="{00000000-0005-0000-0000-0000D6110000}"/>
    <cellStyle name="Input 13 4 3" xfId="5426" xr:uid="{00000000-0005-0000-0000-0000D7110000}"/>
    <cellStyle name="Input 13 4 4" xfId="6689" xr:uid="{00000000-0005-0000-0000-0000D8110000}"/>
    <cellStyle name="Input 13 4 5" xfId="11220" xr:uid="{00000000-0005-0000-0000-0000D9110000}"/>
    <cellStyle name="Input 13 5" xfId="1826" xr:uid="{00000000-0005-0000-0000-0000DA110000}"/>
    <cellStyle name="Input 13 5 2" xfId="3303" xr:uid="{00000000-0005-0000-0000-0000DB110000}"/>
    <cellStyle name="Input 13 5 2 2" xfId="6873" xr:uid="{00000000-0005-0000-0000-0000DC110000}"/>
    <cellStyle name="Input 13 5 2 3" xfId="8841" xr:uid="{00000000-0005-0000-0000-0000DD110000}"/>
    <cellStyle name="Input 13 5 2 4" xfId="10134" xr:uid="{00000000-0005-0000-0000-0000DE110000}"/>
    <cellStyle name="Input 13 5 3" xfId="5415" xr:uid="{00000000-0005-0000-0000-0000DF110000}"/>
    <cellStyle name="Input 13 5 4" xfId="4427" xr:uid="{00000000-0005-0000-0000-0000E0110000}"/>
    <cellStyle name="Input 13 5 5" xfId="11211" xr:uid="{00000000-0005-0000-0000-0000E1110000}"/>
    <cellStyle name="Input 13 6" xfId="2578" xr:uid="{00000000-0005-0000-0000-0000E2110000}"/>
    <cellStyle name="Input 13 6 2" xfId="6166" xr:uid="{00000000-0005-0000-0000-0000E3110000}"/>
    <cellStyle name="Input 13 6 3" xfId="8192" xr:uid="{00000000-0005-0000-0000-0000E4110000}"/>
    <cellStyle name="Input 13 6 4" xfId="9543" xr:uid="{00000000-0005-0000-0000-0000E5110000}"/>
    <cellStyle name="Input 13 7" xfId="4482" xr:uid="{00000000-0005-0000-0000-0000E6110000}"/>
    <cellStyle name="Input 13 8" xfId="6161" xr:uid="{00000000-0005-0000-0000-0000E7110000}"/>
    <cellStyle name="Input 13 9" xfId="8780" xr:uid="{00000000-0005-0000-0000-0000E8110000}"/>
    <cellStyle name="Input 14" xfId="869" xr:uid="{00000000-0005-0000-0000-0000E9110000}"/>
    <cellStyle name="Input 14 2" xfId="1183" xr:uid="{00000000-0005-0000-0000-0000EA110000}"/>
    <cellStyle name="Input 14 2 10" xfId="2439" xr:uid="{00000000-0005-0000-0000-0000EB110000}"/>
    <cellStyle name="Input 14 2 10 2" xfId="3894" xr:uid="{00000000-0005-0000-0000-0000EC110000}"/>
    <cellStyle name="Input 14 2 10 2 2" xfId="7464" xr:uid="{00000000-0005-0000-0000-0000ED110000}"/>
    <cellStyle name="Input 14 2 10 2 3" xfId="9424" xr:uid="{00000000-0005-0000-0000-0000EE110000}"/>
    <cellStyle name="Input 14 2 10 2 4" xfId="10721" xr:uid="{00000000-0005-0000-0000-0000EF110000}"/>
    <cellStyle name="Input 14 2 10 3" xfId="6027" xr:uid="{00000000-0005-0000-0000-0000F0110000}"/>
    <cellStyle name="Input 14 2 10 4" xfId="7576" xr:uid="{00000000-0005-0000-0000-0000F1110000}"/>
    <cellStyle name="Input 14 2 10 5" xfId="11803" xr:uid="{00000000-0005-0000-0000-0000F2110000}"/>
    <cellStyle name="Input 14 2 11" xfId="2492" xr:uid="{00000000-0005-0000-0000-0000F3110000}"/>
    <cellStyle name="Input 14 2 11 2" xfId="3947" xr:uid="{00000000-0005-0000-0000-0000F4110000}"/>
    <cellStyle name="Input 14 2 11 2 2" xfId="7517" xr:uid="{00000000-0005-0000-0000-0000F5110000}"/>
    <cellStyle name="Input 14 2 11 2 3" xfId="9477" xr:uid="{00000000-0005-0000-0000-0000F6110000}"/>
    <cellStyle name="Input 14 2 11 2 4" xfId="10774" xr:uid="{00000000-0005-0000-0000-0000F7110000}"/>
    <cellStyle name="Input 14 2 11 3" xfId="6080" xr:uid="{00000000-0005-0000-0000-0000F8110000}"/>
    <cellStyle name="Input 14 2 11 4" xfId="4629" xr:uid="{00000000-0005-0000-0000-0000F9110000}"/>
    <cellStyle name="Input 14 2 11 5" xfId="11856" xr:uid="{00000000-0005-0000-0000-0000FA110000}"/>
    <cellStyle name="Input 14 2 12" xfId="2698" xr:uid="{00000000-0005-0000-0000-0000FB110000}"/>
    <cellStyle name="Input 14 2 12 2" xfId="6281" xr:uid="{00000000-0005-0000-0000-0000FC110000}"/>
    <cellStyle name="Input 14 2 12 3" xfId="8295" xr:uid="{00000000-0005-0000-0000-0000FD110000}"/>
    <cellStyle name="Input 14 2 12 4" xfId="9633" xr:uid="{00000000-0005-0000-0000-0000FE110000}"/>
    <cellStyle name="Input 14 2 13" xfId="4782" xr:uid="{00000000-0005-0000-0000-0000FF110000}"/>
    <cellStyle name="Input 14 2 14" xfId="4174" xr:uid="{00000000-0005-0000-0000-000000120000}"/>
    <cellStyle name="Input 14 2 15" xfId="8051" xr:uid="{00000000-0005-0000-0000-000001120000}"/>
    <cellStyle name="Input 14 2 2" xfId="1730" xr:uid="{00000000-0005-0000-0000-000002120000}"/>
    <cellStyle name="Input 14 2 2 2" xfId="3207" xr:uid="{00000000-0005-0000-0000-000003120000}"/>
    <cellStyle name="Input 14 2 2 2 2" xfId="6780" xr:uid="{00000000-0005-0000-0000-000004120000}"/>
    <cellStyle name="Input 14 2 2 2 3" xfId="8758" xr:uid="{00000000-0005-0000-0000-000005120000}"/>
    <cellStyle name="Input 14 2 2 2 4" xfId="10060" xr:uid="{00000000-0005-0000-0000-000006120000}"/>
    <cellStyle name="Input 14 2 2 3" xfId="5322" xr:uid="{00000000-0005-0000-0000-000007120000}"/>
    <cellStyle name="Input 14 2 2 4" xfId="4403" xr:uid="{00000000-0005-0000-0000-000008120000}"/>
    <cellStyle name="Input 14 2 2 5" xfId="11137" xr:uid="{00000000-0005-0000-0000-000009120000}"/>
    <cellStyle name="Input 14 2 3" xfId="1899" xr:uid="{00000000-0005-0000-0000-00000A120000}"/>
    <cellStyle name="Input 14 2 3 2" xfId="3363" xr:uid="{00000000-0005-0000-0000-00000B120000}"/>
    <cellStyle name="Input 14 2 3 2 2" xfId="6933" xr:uid="{00000000-0005-0000-0000-00000C120000}"/>
    <cellStyle name="Input 14 2 3 2 3" xfId="8899" xr:uid="{00000000-0005-0000-0000-00000D120000}"/>
    <cellStyle name="Input 14 2 3 2 4" xfId="10190" xr:uid="{00000000-0005-0000-0000-00000E120000}"/>
    <cellStyle name="Input 14 2 3 3" xfId="5487" xr:uid="{00000000-0005-0000-0000-00000F120000}"/>
    <cellStyle name="Input 14 2 3 4" xfId="4093" xr:uid="{00000000-0005-0000-0000-000010120000}"/>
    <cellStyle name="Input 14 2 3 5" xfId="11268" xr:uid="{00000000-0005-0000-0000-000011120000}"/>
    <cellStyle name="Input 14 2 4" xfId="1971" xr:uid="{00000000-0005-0000-0000-000012120000}"/>
    <cellStyle name="Input 14 2 4 2" xfId="3434" xr:uid="{00000000-0005-0000-0000-000013120000}"/>
    <cellStyle name="Input 14 2 4 2 2" xfId="7004" xr:uid="{00000000-0005-0000-0000-000014120000}"/>
    <cellStyle name="Input 14 2 4 2 3" xfId="8970" xr:uid="{00000000-0005-0000-0000-000015120000}"/>
    <cellStyle name="Input 14 2 4 2 4" xfId="10261" xr:uid="{00000000-0005-0000-0000-000016120000}"/>
    <cellStyle name="Input 14 2 4 3" xfId="5559" xr:uid="{00000000-0005-0000-0000-000017120000}"/>
    <cellStyle name="Input 14 2 4 4" xfId="4104" xr:uid="{00000000-0005-0000-0000-000018120000}"/>
    <cellStyle name="Input 14 2 4 5" xfId="11339" xr:uid="{00000000-0005-0000-0000-000019120000}"/>
    <cellStyle name="Input 14 2 5" xfId="2037" xr:uid="{00000000-0005-0000-0000-00001A120000}"/>
    <cellStyle name="Input 14 2 5 2" xfId="3498" xr:uid="{00000000-0005-0000-0000-00001B120000}"/>
    <cellStyle name="Input 14 2 5 2 2" xfId="7068" xr:uid="{00000000-0005-0000-0000-00001C120000}"/>
    <cellStyle name="Input 14 2 5 2 3" xfId="9034" xr:uid="{00000000-0005-0000-0000-00001D120000}"/>
    <cellStyle name="Input 14 2 5 2 4" xfId="10325" xr:uid="{00000000-0005-0000-0000-00001E120000}"/>
    <cellStyle name="Input 14 2 5 3" xfId="5625" xr:uid="{00000000-0005-0000-0000-00001F120000}"/>
    <cellStyle name="Input 14 2 5 4" xfId="8065" xr:uid="{00000000-0005-0000-0000-000020120000}"/>
    <cellStyle name="Input 14 2 5 5" xfId="11404" xr:uid="{00000000-0005-0000-0000-000021120000}"/>
    <cellStyle name="Input 14 2 6" xfId="2101" xr:uid="{00000000-0005-0000-0000-000022120000}"/>
    <cellStyle name="Input 14 2 6 2" xfId="3560" xr:uid="{00000000-0005-0000-0000-000023120000}"/>
    <cellStyle name="Input 14 2 6 2 2" xfId="7130" xr:uid="{00000000-0005-0000-0000-000024120000}"/>
    <cellStyle name="Input 14 2 6 2 3" xfId="9095" xr:uid="{00000000-0005-0000-0000-000025120000}"/>
    <cellStyle name="Input 14 2 6 2 4" xfId="10387" xr:uid="{00000000-0005-0000-0000-000026120000}"/>
    <cellStyle name="Input 14 2 6 3" xfId="5689" xr:uid="{00000000-0005-0000-0000-000027120000}"/>
    <cellStyle name="Input 14 2 6 4" xfId="7614" xr:uid="{00000000-0005-0000-0000-000028120000}"/>
    <cellStyle name="Input 14 2 6 5" xfId="11467" xr:uid="{00000000-0005-0000-0000-000029120000}"/>
    <cellStyle name="Input 14 2 7" xfId="2174" xr:uid="{00000000-0005-0000-0000-00002A120000}"/>
    <cellStyle name="Input 14 2 7 2" xfId="3633" xr:uid="{00000000-0005-0000-0000-00002B120000}"/>
    <cellStyle name="Input 14 2 7 2 2" xfId="7203" xr:uid="{00000000-0005-0000-0000-00002C120000}"/>
    <cellStyle name="Input 14 2 7 2 3" xfId="9168" xr:uid="{00000000-0005-0000-0000-00002D120000}"/>
    <cellStyle name="Input 14 2 7 2 4" xfId="10460" xr:uid="{00000000-0005-0000-0000-00002E120000}"/>
    <cellStyle name="Input 14 2 7 3" xfId="5762" xr:uid="{00000000-0005-0000-0000-00002F120000}"/>
    <cellStyle name="Input 14 2 7 4" xfId="4677" xr:uid="{00000000-0005-0000-0000-000030120000}"/>
    <cellStyle name="Input 14 2 7 5" xfId="11540" xr:uid="{00000000-0005-0000-0000-000031120000}"/>
    <cellStyle name="Input 14 2 8" xfId="2278" xr:uid="{00000000-0005-0000-0000-000032120000}"/>
    <cellStyle name="Input 14 2 8 2" xfId="3735" xr:uid="{00000000-0005-0000-0000-000033120000}"/>
    <cellStyle name="Input 14 2 8 2 2" xfId="7305" xr:uid="{00000000-0005-0000-0000-000034120000}"/>
    <cellStyle name="Input 14 2 8 2 3" xfId="9268" xr:uid="{00000000-0005-0000-0000-000035120000}"/>
    <cellStyle name="Input 14 2 8 2 4" xfId="10562" xr:uid="{00000000-0005-0000-0000-000036120000}"/>
    <cellStyle name="Input 14 2 8 3" xfId="5866" xr:uid="{00000000-0005-0000-0000-000037120000}"/>
    <cellStyle name="Input 14 2 8 4" xfId="4718" xr:uid="{00000000-0005-0000-0000-000038120000}"/>
    <cellStyle name="Input 14 2 8 5" xfId="11643" xr:uid="{00000000-0005-0000-0000-000039120000}"/>
    <cellStyle name="Input 14 2 9" xfId="2370" xr:uid="{00000000-0005-0000-0000-00003A120000}"/>
    <cellStyle name="Input 14 2 9 2" xfId="3826" xr:uid="{00000000-0005-0000-0000-00003B120000}"/>
    <cellStyle name="Input 14 2 9 2 2" xfId="7396" xr:uid="{00000000-0005-0000-0000-00003C120000}"/>
    <cellStyle name="Input 14 2 9 2 3" xfId="9358" xr:uid="{00000000-0005-0000-0000-00003D120000}"/>
    <cellStyle name="Input 14 2 9 2 4" xfId="10653" xr:uid="{00000000-0005-0000-0000-00003E120000}"/>
    <cellStyle name="Input 14 2 9 3" xfId="5958" xr:uid="{00000000-0005-0000-0000-00003F120000}"/>
    <cellStyle name="Input 14 2 9 4" xfId="6843" xr:uid="{00000000-0005-0000-0000-000040120000}"/>
    <cellStyle name="Input 14 2 9 5" xfId="11734" xr:uid="{00000000-0005-0000-0000-000041120000}"/>
    <cellStyle name="Input 14 3" xfId="1517" xr:uid="{00000000-0005-0000-0000-000042120000}"/>
    <cellStyle name="Input 14 3 2" xfId="3001" xr:uid="{00000000-0005-0000-0000-000043120000}"/>
    <cellStyle name="Input 14 3 2 2" xfId="6578" xr:uid="{00000000-0005-0000-0000-000044120000}"/>
    <cellStyle name="Input 14 3 2 3" xfId="8579" xr:uid="{00000000-0005-0000-0000-000045120000}"/>
    <cellStyle name="Input 14 3 2 4" xfId="9902" xr:uid="{00000000-0005-0000-0000-000046120000}"/>
    <cellStyle name="Input 14 3 3" xfId="5114" xr:uid="{00000000-0005-0000-0000-000047120000}"/>
    <cellStyle name="Input 14 3 4" xfId="7651" xr:uid="{00000000-0005-0000-0000-000048120000}"/>
    <cellStyle name="Input 14 3 5" xfId="10984" xr:uid="{00000000-0005-0000-0000-000049120000}"/>
    <cellStyle name="Input 14 4" xfId="1828" xr:uid="{00000000-0005-0000-0000-00004A120000}"/>
    <cellStyle name="Input 14 4 2" xfId="3305" xr:uid="{00000000-0005-0000-0000-00004B120000}"/>
    <cellStyle name="Input 14 4 2 2" xfId="6875" xr:uid="{00000000-0005-0000-0000-00004C120000}"/>
    <cellStyle name="Input 14 4 2 3" xfId="8843" xr:uid="{00000000-0005-0000-0000-00004D120000}"/>
    <cellStyle name="Input 14 4 2 4" xfId="10135" xr:uid="{00000000-0005-0000-0000-00004E120000}"/>
    <cellStyle name="Input 14 4 3" xfId="5417" xr:uid="{00000000-0005-0000-0000-00004F120000}"/>
    <cellStyle name="Input 14 4 4" xfId="4198" xr:uid="{00000000-0005-0000-0000-000050120000}"/>
    <cellStyle name="Input 14 4 5" xfId="11212" xr:uid="{00000000-0005-0000-0000-000051120000}"/>
    <cellStyle name="Input 14 5" xfId="1438" xr:uid="{00000000-0005-0000-0000-000052120000}"/>
    <cellStyle name="Input 14 5 2" xfId="2925" xr:uid="{00000000-0005-0000-0000-000053120000}"/>
    <cellStyle name="Input 14 5 2 2" xfId="6503" xr:uid="{00000000-0005-0000-0000-000054120000}"/>
    <cellStyle name="Input 14 5 2 3" xfId="8505" xr:uid="{00000000-0005-0000-0000-000055120000}"/>
    <cellStyle name="Input 14 5 2 4" xfId="9828" xr:uid="{00000000-0005-0000-0000-000056120000}"/>
    <cellStyle name="Input 14 5 3" xfId="5036" xr:uid="{00000000-0005-0000-0000-000057120000}"/>
    <cellStyle name="Input 14 5 4" xfId="8366" xr:uid="{00000000-0005-0000-0000-000058120000}"/>
    <cellStyle name="Input 14 5 5" xfId="10909" xr:uid="{00000000-0005-0000-0000-000059120000}"/>
    <cellStyle name="Input 14 6" xfId="2579" xr:uid="{00000000-0005-0000-0000-00005A120000}"/>
    <cellStyle name="Input 14 6 2" xfId="6167" xr:uid="{00000000-0005-0000-0000-00005B120000}"/>
    <cellStyle name="Input 14 6 3" xfId="8193" xr:uid="{00000000-0005-0000-0000-00005C120000}"/>
    <cellStyle name="Input 14 6 4" xfId="9544" xr:uid="{00000000-0005-0000-0000-00005D120000}"/>
    <cellStyle name="Input 14 7" xfId="4483" xr:uid="{00000000-0005-0000-0000-00005E120000}"/>
    <cellStyle name="Input 14 8" xfId="6512" xr:uid="{00000000-0005-0000-0000-00005F120000}"/>
    <cellStyle name="Input 14 9" xfId="7827" xr:uid="{00000000-0005-0000-0000-000060120000}"/>
    <cellStyle name="Input 15" xfId="870" xr:uid="{00000000-0005-0000-0000-000061120000}"/>
    <cellStyle name="Input 15 2" xfId="1184" xr:uid="{00000000-0005-0000-0000-000062120000}"/>
    <cellStyle name="Input 15 2 10" xfId="2440" xr:uid="{00000000-0005-0000-0000-000063120000}"/>
    <cellStyle name="Input 15 2 10 2" xfId="3895" xr:uid="{00000000-0005-0000-0000-000064120000}"/>
    <cellStyle name="Input 15 2 10 2 2" xfId="7465" xr:uid="{00000000-0005-0000-0000-000065120000}"/>
    <cellStyle name="Input 15 2 10 2 3" xfId="9425" xr:uid="{00000000-0005-0000-0000-000066120000}"/>
    <cellStyle name="Input 15 2 10 2 4" xfId="10722" xr:uid="{00000000-0005-0000-0000-000067120000}"/>
    <cellStyle name="Input 15 2 10 3" xfId="6028" xr:uid="{00000000-0005-0000-0000-000068120000}"/>
    <cellStyle name="Input 15 2 10 4" xfId="7577" xr:uid="{00000000-0005-0000-0000-000069120000}"/>
    <cellStyle name="Input 15 2 10 5" xfId="11804" xr:uid="{00000000-0005-0000-0000-00006A120000}"/>
    <cellStyle name="Input 15 2 11" xfId="2493" xr:uid="{00000000-0005-0000-0000-00006B120000}"/>
    <cellStyle name="Input 15 2 11 2" xfId="3948" xr:uid="{00000000-0005-0000-0000-00006C120000}"/>
    <cellStyle name="Input 15 2 11 2 2" xfId="7518" xr:uid="{00000000-0005-0000-0000-00006D120000}"/>
    <cellStyle name="Input 15 2 11 2 3" xfId="9478" xr:uid="{00000000-0005-0000-0000-00006E120000}"/>
    <cellStyle name="Input 15 2 11 2 4" xfId="10775" xr:uid="{00000000-0005-0000-0000-00006F120000}"/>
    <cellStyle name="Input 15 2 11 3" xfId="6081" xr:uid="{00000000-0005-0000-0000-000070120000}"/>
    <cellStyle name="Input 15 2 11 4" xfId="4630" xr:uid="{00000000-0005-0000-0000-000071120000}"/>
    <cellStyle name="Input 15 2 11 5" xfId="11857" xr:uid="{00000000-0005-0000-0000-000072120000}"/>
    <cellStyle name="Input 15 2 12" xfId="2699" xr:uid="{00000000-0005-0000-0000-000073120000}"/>
    <cellStyle name="Input 15 2 12 2" xfId="6282" xr:uid="{00000000-0005-0000-0000-000074120000}"/>
    <cellStyle name="Input 15 2 12 3" xfId="8296" xr:uid="{00000000-0005-0000-0000-000075120000}"/>
    <cellStyle name="Input 15 2 12 4" xfId="9634" xr:uid="{00000000-0005-0000-0000-000076120000}"/>
    <cellStyle name="Input 15 2 13" xfId="4783" xr:uid="{00000000-0005-0000-0000-000077120000}"/>
    <cellStyle name="Input 15 2 14" xfId="4173" xr:uid="{00000000-0005-0000-0000-000078120000}"/>
    <cellStyle name="Input 15 2 15" xfId="7996" xr:uid="{00000000-0005-0000-0000-000079120000}"/>
    <cellStyle name="Input 15 2 2" xfId="1731" xr:uid="{00000000-0005-0000-0000-00007A120000}"/>
    <cellStyle name="Input 15 2 2 2" xfId="3208" xr:uid="{00000000-0005-0000-0000-00007B120000}"/>
    <cellStyle name="Input 15 2 2 2 2" xfId="6781" xr:uid="{00000000-0005-0000-0000-00007C120000}"/>
    <cellStyle name="Input 15 2 2 2 3" xfId="8759" xr:uid="{00000000-0005-0000-0000-00007D120000}"/>
    <cellStyle name="Input 15 2 2 2 4" xfId="10061" xr:uid="{00000000-0005-0000-0000-00007E120000}"/>
    <cellStyle name="Input 15 2 2 3" xfId="5323" xr:uid="{00000000-0005-0000-0000-00007F120000}"/>
    <cellStyle name="Input 15 2 2 4" xfId="4404" xr:uid="{00000000-0005-0000-0000-000080120000}"/>
    <cellStyle name="Input 15 2 2 5" xfId="11138" xr:uid="{00000000-0005-0000-0000-000081120000}"/>
    <cellStyle name="Input 15 2 3" xfId="1900" xr:uid="{00000000-0005-0000-0000-000082120000}"/>
    <cellStyle name="Input 15 2 3 2" xfId="3364" xr:uid="{00000000-0005-0000-0000-000083120000}"/>
    <cellStyle name="Input 15 2 3 2 2" xfId="6934" xr:uid="{00000000-0005-0000-0000-000084120000}"/>
    <cellStyle name="Input 15 2 3 2 3" xfId="8900" xr:uid="{00000000-0005-0000-0000-000085120000}"/>
    <cellStyle name="Input 15 2 3 2 4" xfId="10191" xr:uid="{00000000-0005-0000-0000-000086120000}"/>
    <cellStyle name="Input 15 2 3 3" xfId="5488" xr:uid="{00000000-0005-0000-0000-000087120000}"/>
    <cellStyle name="Input 15 2 3 4" xfId="7893" xr:uid="{00000000-0005-0000-0000-000088120000}"/>
    <cellStyle name="Input 15 2 3 5" xfId="11269" xr:uid="{00000000-0005-0000-0000-000089120000}"/>
    <cellStyle name="Input 15 2 4" xfId="1972" xr:uid="{00000000-0005-0000-0000-00008A120000}"/>
    <cellStyle name="Input 15 2 4 2" xfId="3435" xr:uid="{00000000-0005-0000-0000-00008B120000}"/>
    <cellStyle name="Input 15 2 4 2 2" xfId="7005" xr:uid="{00000000-0005-0000-0000-00008C120000}"/>
    <cellStyle name="Input 15 2 4 2 3" xfId="8971" xr:uid="{00000000-0005-0000-0000-00008D120000}"/>
    <cellStyle name="Input 15 2 4 2 4" xfId="10262" xr:uid="{00000000-0005-0000-0000-00008E120000}"/>
    <cellStyle name="Input 15 2 4 3" xfId="5560" xr:uid="{00000000-0005-0000-0000-00008F120000}"/>
    <cellStyle name="Input 15 2 4 4" xfId="8058" xr:uid="{00000000-0005-0000-0000-000090120000}"/>
    <cellStyle name="Input 15 2 4 5" xfId="11340" xr:uid="{00000000-0005-0000-0000-000091120000}"/>
    <cellStyle name="Input 15 2 5" xfId="2038" xr:uid="{00000000-0005-0000-0000-000092120000}"/>
    <cellStyle name="Input 15 2 5 2" xfId="3499" xr:uid="{00000000-0005-0000-0000-000093120000}"/>
    <cellStyle name="Input 15 2 5 2 2" xfId="7069" xr:uid="{00000000-0005-0000-0000-000094120000}"/>
    <cellStyle name="Input 15 2 5 2 3" xfId="9035" xr:uid="{00000000-0005-0000-0000-000095120000}"/>
    <cellStyle name="Input 15 2 5 2 4" xfId="10326" xr:uid="{00000000-0005-0000-0000-000096120000}"/>
    <cellStyle name="Input 15 2 5 3" xfId="5626" xr:uid="{00000000-0005-0000-0000-000097120000}"/>
    <cellStyle name="Input 15 2 5 4" xfId="8021" xr:uid="{00000000-0005-0000-0000-000098120000}"/>
    <cellStyle name="Input 15 2 5 5" xfId="11405" xr:uid="{00000000-0005-0000-0000-000099120000}"/>
    <cellStyle name="Input 15 2 6" xfId="2102" xr:uid="{00000000-0005-0000-0000-00009A120000}"/>
    <cellStyle name="Input 15 2 6 2" xfId="3561" xr:uid="{00000000-0005-0000-0000-00009B120000}"/>
    <cellStyle name="Input 15 2 6 2 2" xfId="7131" xr:uid="{00000000-0005-0000-0000-00009C120000}"/>
    <cellStyle name="Input 15 2 6 2 3" xfId="9096" xr:uid="{00000000-0005-0000-0000-00009D120000}"/>
    <cellStyle name="Input 15 2 6 2 4" xfId="10388" xr:uid="{00000000-0005-0000-0000-00009E120000}"/>
    <cellStyle name="Input 15 2 6 3" xfId="5690" xr:uid="{00000000-0005-0000-0000-00009F120000}"/>
    <cellStyle name="Input 15 2 6 4" xfId="8060" xr:uid="{00000000-0005-0000-0000-0000A0120000}"/>
    <cellStyle name="Input 15 2 6 5" xfId="11468" xr:uid="{00000000-0005-0000-0000-0000A1120000}"/>
    <cellStyle name="Input 15 2 7" xfId="2175" xr:uid="{00000000-0005-0000-0000-0000A2120000}"/>
    <cellStyle name="Input 15 2 7 2" xfId="3634" xr:uid="{00000000-0005-0000-0000-0000A3120000}"/>
    <cellStyle name="Input 15 2 7 2 2" xfId="7204" xr:uid="{00000000-0005-0000-0000-0000A4120000}"/>
    <cellStyle name="Input 15 2 7 2 3" xfId="9169" xr:uid="{00000000-0005-0000-0000-0000A5120000}"/>
    <cellStyle name="Input 15 2 7 2 4" xfId="10461" xr:uid="{00000000-0005-0000-0000-0000A6120000}"/>
    <cellStyle name="Input 15 2 7 3" xfId="5763" xr:uid="{00000000-0005-0000-0000-0000A7120000}"/>
    <cellStyle name="Input 15 2 7 4" xfId="6603" xr:uid="{00000000-0005-0000-0000-0000A8120000}"/>
    <cellStyle name="Input 15 2 7 5" xfId="11541" xr:uid="{00000000-0005-0000-0000-0000A9120000}"/>
    <cellStyle name="Input 15 2 8" xfId="2279" xr:uid="{00000000-0005-0000-0000-0000AA120000}"/>
    <cellStyle name="Input 15 2 8 2" xfId="3736" xr:uid="{00000000-0005-0000-0000-0000AB120000}"/>
    <cellStyle name="Input 15 2 8 2 2" xfId="7306" xr:uid="{00000000-0005-0000-0000-0000AC120000}"/>
    <cellStyle name="Input 15 2 8 2 3" xfId="9269" xr:uid="{00000000-0005-0000-0000-0000AD120000}"/>
    <cellStyle name="Input 15 2 8 2 4" xfId="10563" xr:uid="{00000000-0005-0000-0000-0000AE120000}"/>
    <cellStyle name="Input 15 2 8 3" xfId="5867" xr:uid="{00000000-0005-0000-0000-0000AF120000}"/>
    <cellStyle name="Input 15 2 8 4" xfId="4723" xr:uid="{00000000-0005-0000-0000-0000B0120000}"/>
    <cellStyle name="Input 15 2 8 5" xfId="11644" xr:uid="{00000000-0005-0000-0000-0000B1120000}"/>
    <cellStyle name="Input 15 2 9" xfId="2371" xr:uid="{00000000-0005-0000-0000-0000B2120000}"/>
    <cellStyle name="Input 15 2 9 2" xfId="3827" xr:uid="{00000000-0005-0000-0000-0000B3120000}"/>
    <cellStyle name="Input 15 2 9 2 2" xfId="7397" xr:uid="{00000000-0005-0000-0000-0000B4120000}"/>
    <cellStyle name="Input 15 2 9 2 3" xfId="9359" xr:uid="{00000000-0005-0000-0000-0000B5120000}"/>
    <cellStyle name="Input 15 2 9 2 4" xfId="10654" xr:uid="{00000000-0005-0000-0000-0000B6120000}"/>
    <cellStyle name="Input 15 2 9 3" xfId="5959" xr:uid="{00000000-0005-0000-0000-0000B7120000}"/>
    <cellStyle name="Input 15 2 9 4" xfId="6339" xr:uid="{00000000-0005-0000-0000-0000B8120000}"/>
    <cellStyle name="Input 15 2 9 5" xfId="11735" xr:uid="{00000000-0005-0000-0000-0000B9120000}"/>
    <cellStyle name="Input 15 3" xfId="1518" xr:uid="{00000000-0005-0000-0000-0000BA120000}"/>
    <cellStyle name="Input 15 3 2" xfId="3002" xr:uid="{00000000-0005-0000-0000-0000BB120000}"/>
    <cellStyle name="Input 15 3 2 2" xfId="6579" xr:uid="{00000000-0005-0000-0000-0000BC120000}"/>
    <cellStyle name="Input 15 3 2 3" xfId="8580" xr:uid="{00000000-0005-0000-0000-0000BD120000}"/>
    <cellStyle name="Input 15 3 2 4" xfId="9903" xr:uid="{00000000-0005-0000-0000-0000BE120000}"/>
    <cellStyle name="Input 15 3 3" xfId="5115" xr:uid="{00000000-0005-0000-0000-0000BF120000}"/>
    <cellStyle name="Input 15 3 4" xfId="9349" xr:uid="{00000000-0005-0000-0000-0000C0120000}"/>
    <cellStyle name="Input 15 3 5" xfId="10985" xr:uid="{00000000-0005-0000-0000-0000C1120000}"/>
    <cellStyle name="Input 15 4" xfId="1397" xr:uid="{00000000-0005-0000-0000-0000C2120000}"/>
    <cellStyle name="Input 15 4 2" xfId="2893" xr:uid="{00000000-0005-0000-0000-0000C3120000}"/>
    <cellStyle name="Input 15 4 2 2" xfId="6472" xr:uid="{00000000-0005-0000-0000-0000C4120000}"/>
    <cellStyle name="Input 15 4 2 3" xfId="8473" xr:uid="{00000000-0005-0000-0000-0000C5120000}"/>
    <cellStyle name="Input 15 4 2 4" xfId="9798" xr:uid="{00000000-0005-0000-0000-0000C6120000}"/>
    <cellStyle name="Input 15 4 3" xfId="4995" xr:uid="{00000000-0005-0000-0000-0000C7120000}"/>
    <cellStyle name="Input 15 4 4" xfId="4339" xr:uid="{00000000-0005-0000-0000-0000C8120000}"/>
    <cellStyle name="Input 15 4 5" xfId="10880" xr:uid="{00000000-0005-0000-0000-0000C9120000}"/>
    <cellStyle name="Input 15 5" xfId="1439" xr:uid="{00000000-0005-0000-0000-0000CA120000}"/>
    <cellStyle name="Input 15 5 2" xfId="2926" xr:uid="{00000000-0005-0000-0000-0000CB120000}"/>
    <cellStyle name="Input 15 5 2 2" xfId="6504" xr:uid="{00000000-0005-0000-0000-0000CC120000}"/>
    <cellStyle name="Input 15 5 2 3" xfId="8506" xr:uid="{00000000-0005-0000-0000-0000CD120000}"/>
    <cellStyle name="Input 15 5 2 4" xfId="9829" xr:uid="{00000000-0005-0000-0000-0000CE120000}"/>
    <cellStyle name="Input 15 5 3" xfId="5037" xr:uid="{00000000-0005-0000-0000-0000CF120000}"/>
    <cellStyle name="Input 15 5 4" xfId="4105" xr:uid="{00000000-0005-0000-0000-0000D0120000}"/>
    <cellStyle name="Input 15 5 5" xfId="10910" xr:uid="{00000000-0005-0000-0000-0000D1120000}"/>
    <cellStyle name="Input 15 6" xfId="2580" xr:uid="{00000000-0005-0000-0000-0000D2120000}"/>
    <cellStyle name="Input 15 6 2" xfId="6168" xr:uid="{00000000-0005-0000-0000-0000D3120000}"/>
    <cellStyle name="Input 15 6 3" xfId="8194" xr:uid="{00000000-0005-0000-0000-0000D4120000}"/>
    <cellStyle name="Input 15 6 4" xfId="9545" xr:uid="{00000000-0005-0000-0000-0000D5120000}"/>
    <cellStyle name="Input 15 7" xfId="4484" xr:uid="{00000000-0005-0000-0000-0000D6120000}"/>
    <cellStyle name="Input 15 8" xfId="5045" xr:uid="{00000000-0005-0000-0000-0000D7120000}"/>
    <cellStyle name="Input 15 9" xfId="4151" xr:uid="{00000000-0005-0000-0000-0000D8120000}"/>
    <cellStyle name="Input 16" xfId="871" xr:uid="{00000000-0005-0000-0000-0000D9120000}"/>
    <cellStyle name="Input 16 2" xfId="1185" xr:uid="{00000000-0005-0000-0000-0000DA120000}"/>
    <cellStyle name="Input 16 2 10" xfId="2441" xr:uid="{00000000-0005-0000-0000-0000DB120000}"/>
    <cellStyle name="Input 16 2 10 2" xfId="3896" xr:uid="{00000000-0005-0000-0000-0000DC120000}"/>
    <cellStyle name="Input 16 2 10 2 2" xfId="7466" xr:uid="{00000000-0005-0000-0000-0000DD120000}"/>
    <cellStyle name="Input 16 2 10 2 3" xfId="9426" xr:uid="{00000000-0005-0000-0000-0000DE120000}"/>
    <cellStyle name="Input 16 2 10 2 4" xfId="10723" xr:uid="{00000000-0005-0000-0000-0000DF120000}"/>
    <cellStyle name="Input 16 2 10 3" xfId="6029" xr:uid="{00000000-0005-0000-0000-0000E0120000}"/>
    <cellStyle name="Input 16 2 10 4" xfId="4028" xr:uid="{00000000-0005-0000-0000-0000E1120000}"/>
    <cellStyle name="Input 16 2 10 5" xfId="11805" xr:uid="{00000000-0005-0000-0000-0000E2120000}"/>
    <cellStyle name="Input 16 2 11" xfId="2494" xr:uid="{00000000-0005-0000-0000-0000E3120000}"/>
    <cellStyle name="Input 16 2 11 2" xfId="3949" xr:uid="{00000000-0005-0000-0000-0000E4120000}"/>
    <cellStyle name="Input 16 2 11 2 2" xfId="7519" xr:uid="{00000000-0005-0000-0000-0000E5120000}"/>
    <cellStyle name="Input 16 2 11 2 3" xfId="9479" xr:uid="{00000000-0005-0000-0000-0000E6120000}"/>
    <cellStyle name="Input 16 2 11 2 4" xfId="10776" xr:uid="{00000000-0005-0000-0000-0000E7120000}"/>
    <cellStyle name="Input 16 2 11 3" xfId="6082" xr:uid="{00000000-0005-0000-0000-0000E8120000}"/>
    <cellStyle name="Input 16 2 11 4" xfId="4631" xr:uid="{00000000-0005-0000-0000-0000E9120000}"/>
    <cellStyle name="Input 16 2 11 5" xfId="11858" xr:uid="{00000000-0005-0000-0000-0000EA120000}"/>
    <cellStyle name="Input 16 2 12" xfId="2700" xr:uid="{00000000-0005-0000-0000-0000EB120000}"/>
    <cellStyle name="Input 16 2 12 2" xfId="6283" xr:uid="{00000000-0005-0000-0000-0000EC120000}"/>
    <cellStyle name="Input 16 2 12 3" xfId="8297" xr:uid="{00000000-0005-0000-0000-0000ED120000}"/>
    <cellStyle name="Input 16 2 12 4" xfId="9635" xr:uid="{00000000-0005-0000-0000-0000EE120000}"/>
    <cellStyle name="Input 16 2 13" xfId="4784" xr:uid="{00000000-0005-0000-0000-0000EF120000}"/>
    <cellStyle name="Input 16 2 14" xfId="4172" xr:uid="{00000000-0005-0000-0000-0000F0120000}"/>
    <cellStyle name="Input 16 2 15" xfId="7980" xr:uid="{00000000-0005-0000-0000-0000F1120000}"/>
    <cellStyle name="Input 16 2 2" xfId="1732" xr:uid="{00000000-0005-0000-0000-0000F2120000}"/>
    <cellStyle name="Input 16 2 2 2" xfId="3209" xr:uid="{00000000-0005-0000-0000-0000F3120000}"/>
    <cellStyle name="Input 16 2 2 2 2" xfId="6782" xr:uid="{00000000-0005-0000-0000-0000F4120000}"/>
    <cellStyle name="Input 16 2 2 2 3" xfId="8760" xr:uid="{00000000-0005-0000-0000-0000F5120000}"/>
    <cellStyle name="Input 16 2 2 2 4" xfId="10062" xr:uid="{00000000-0005-0000-0000-0000F6120000}"/>
    <cellStyle name="Input 16 2 2 3" xfId="5324" xr:uid="{00000000-0005-0000-0000-0000F7120000}"/>
    <cellStyle name="Input 16 2 2 4" xfId="4405" xr:uid="{00000000-0005-0000-0000-0000F8120000}"/>
    <cellStyle name="Input 16 2 2 5" xfId="11139" xr:uid="{00000000-0005-0000-0000-0000F9120000}"/>
    <cellStyle name="Input 16 2 3" xfId="1901" xr:uid="{00000000-0005-0000-0000-0000FA120000}"/>
    <cellStyle name="Input 16 2 3 2" xfId="3365" xr:uid="{00000000-0005-0000-0000-0000FB120000}"/>
    <cellStyle name="Input 16 2 3 2 2" xfId="6935" xr:uid="{00000000-0005-0000-0000-0000FC120000}"/>
    <cellStyle name="Input 16 2 3 2 3" xfId="8901" xr:uid="{00000000-0005-0000-0000-0000FD120000}"/>
    <cellStyle name="Input 16 2 3 2 4" xfId="10192" xr:uid="{00000000-0005-0000-0000-0000FE120000}"/>
    <cellStyle name="Input 16 2 3 3" xfId="5489" xr:uid="{00000000-0005-0000-0000-0000FF120000}"/>
    <cellStyle name="Input 16 2 3 4" xfId="7796" xr:uid="{00000000-0005-0000-0000-000000130000}"/>
    <cellStyle name="Input 16 2 3 5" xfId="11270" xr:uid="{00000000-0005-0000-0000-000001130000}"/>
    <cellStyle name="Input 16 2 4" xfId="1973" xr:uid="{00000000-0005-0000-0000-000002130000}"/>
    <cellStyle name="Input 16 2 4 2" xfId="3436" xr:uid="{00000000-0005-0000-0000-000003130000}"/>
    <cellStyle name="Input 16 2 4 2 2" xfId="7006" xr:uid="{00000000-0005-0000-0000-000004130000}"/>
    <cellStyle name="Input 16 2 4 2 3" xfId="8972" xr:uid="{00000000-0005-0000-0000-000005130000}"/>
    <cellStyle name="Input 16 2 4 2 4" xfId="10263" xr:uid="{00000000-0005-0000-0000-000006130000}"/>
    <cellStyle name="Input 16 2 4 3" xfId="5561" xr:uid="{00000000-0005-0000-0000-000007130000}"/>
    <cellStyle name="Input 16 2 4 4" xfId="8014" xr:uid="{00000000-0005-0000-0000-000008130000}"/>
    <cellStyle name="Input 16 2 4 5" xfId="11341" xr:uid="{00000000-0005-0000-0000-000009130000}"/>
    <cellStyle name="Input 16 2 5" xfId="2039" xr:uid="{00000000-0005-0000-0000-00000A130000}"/>
    <cellStyle name="Input 16 2 5 2" xfId="3500" xr:uid="{00000000-0005-0000-0000-00000B130000}"/>
    <cellStyle name="Input 16 2 5 2 2" xfId="7070" xr:uid="{00000000-0005-0000-0000-00000C130000}"/>
    <cellStyle name="Input 16 2 5 2 3" xfId="9036" xr:uid="{00000000-0005-0000-0000-00000D130000}"/>
    <cellStyle name="Input 16 2 5 2 4" xfId="10327" xr:uid="{00000000-0005-0000-0000-00000E130000}"/>
    <cellStyle name="Input 16 2 5 3" xfId="5627" xr:uid="{00000000-0005-0000-0000-00000F130000}"/>
    <cellStyle name="Input 16 2 5 4" xfId="4066" xr:uid="{00000000-0005-0000-0000-000010130000}"/>
    <cellStyle name="Input 16 2 5 5" xfId="11406" xr:uid="{00000000-0005-0000-0000-000011130000}"/>
    <cellStyle name="Input 16 2 6" xfId="2103" xr:uid="{00000000-0005-0000-0000-000012130000}"/>
    <cellStyle name="Input 16 2 6 2" xfId="3562" xr:uid="{00000000-0005-0000-0000-000013130000}"/>
    <cellStyle name="Input 16 2 6 2 2" xfId="7132" xr:uid="{00000000-0005-0000-0000-000014130000}"/>
    <cellStyle name="Input 16 2 6 2 3" xfId="9097" xr:uid="{00000000-0005-0000-0000-000015130000}"/>
    <cellStyle name="Input 16 2 6 2 4" xfId="10389" xr:uid="{00000000-0005-0000-0000-000016130000}"/>
    <cellStyle name="Input 16 2 6 3" xfId="5691" xr:uid="{00000000-0005-0000-0000-000017130000}"/>
    <cellStyle name="Input 16 2 6 4" xfId="8016" xr:uid="{00000000-0005-0000-0000-000018130000}"/>
    <cellStyle name="Input 16 2 6 5" xfId="11469" xr:uid="{00000000-0005-0000-0000-000019130000}"/>
    <cellStyle name="Input 16 2 7" xfId="2176" xr:uid="{00000000-0005-0000-0000-00001A130000}"/>
    <cellStyle name="Input 16 2 7 2" xfId="3635" xr:uid="{00000000-0005-0000-0000-00001B130000}"/>
    <cellStyle name="Input 16 2 7 2 2" xfId="7205" xr:uid="{00000000-0005-0000-0000-00001C130000}"/>
    <cellStyle name="Input 16 2 7 2 3" xfId="9170" xr:uid="{00000000-0005-0000-0000-00001D130000}"/>
    <cellStyle name="Input 16 2 7 2 4" xfId="10462" xr:uid="{00000000-0005-0000-0000-00001E130000}"/>
    <cellStyle name="Input 16 2 7 3" xfId="5764" xr:uid="{00000000-0005-0000-0000-00001F130000}"/>
    <cellStyle name="Input 16 2 7 4" xfId="5008" xr:uid="{00000000-0005-0000-0000-000020130000}"/>
    <cellStyle name="Input 16 2 7 5" xfId="11542" xr:uid="{00000000-0005-0000-0000-000021130000}"/>
    <cellStyle name="Input 16 2 8" xfId="2280" xr:uid="{00000000-0005-0000-0000-000022130000}"/>
    <cellStyle name="Input 16 2 8 2" xfId="3737" xr:uid="{00000000-0005-0000-0000-000023130000}"/>
    <cellStyle name="Input 16 2 8 2 2" xfId="7307" xr:uid="{00000000-0005-0000-0000-000024130000}"/>
    <cellStyle name="Input 16 2 8 2 3" xfId="9270" xr:uid="{00000000-0005-0000-0000-000025130000}"/>
    <cellStyle name="Input 16 2 8 2 4" xfId="10564" xr:uid="{00000000-0005-0000-0000-000026130000}"/>
    <cellStyle name="Input 16 2 8 3" xfId="5868" xr:uid="{00000000-0005-0000-0000-000027130000}"/>
    <cellStyle name="Input 16 2 8 4" xfId="5268" xr:uid="{00000000-0005-0000-0000-000028130000}"/>
    <cellStyle name="Input 16 2 8 5" xfId="11645" xr:uid="{00000000-0005-0000-0000-000029130000}"/>
    <cellStyle name="Input 16 2 9" xfId="2372" xr:uid="{00000000-0005-0000-0000-00002A130000}"/>
    <cellStyle name="Input 16 2 9 2" xfId="3828" xr:uid="{00000000-0005-0000-0000-00002B130000}"/>
    <cellStyle name="Input 16 2 9 2 2" xfId="7398" xr:uid="{00000000-0005-0000-0000-00002C130000}"/>
    <cellStyle name="Input 16 2 9 2 3" xfId="9360" xr:uid="{00000000-0005-0000-0000-00002D130000}"/>
    <cellStyle name="Input 16 2 9 2 4" xfId="10655" xr:uid="{00000000-0005-0000-0000-00002E130000}"/>
    <cellStyle name="Input 16 2 9 3" xfId="5960" xr:uid="{00000000-0005-0000-0000-00002F130000}"/>
    <cellStyle name="Input 16 2 9 4" xfId="4688" xr:uid="{00000000-0005-0000-0000-000030130000}"/>
    <cellStyle name="Input 16 2 9 5" xfId="11736" xr:uid="{00000000-0005-0000-0000-000031130000}"/>
    <cellStyle name="Input 16 3" xfId="1519" xr:uid="{00000000-0005-0000-0000-000032130000}"/>
    <cellStyle name="Input 16 3 2" xfId="3003" xr:uid="{00000000-0005-0000-0000-000033130000}"/>
    <cellStyle name="Input 16 3 2 2" xfId="6580" xr:uid="{00000000-0005-0000-0000-000034130000}"/>
    <cellStyle name="Input 16 3 2 3" xfId="8581" xr:uid="{00000000-0005-0000-0000-000035130000}"/>
    <cellStyle name="Input 16 3 2 4" xfId="9904" xr:uid="{00000000-0005-0000-0000-000036130000}"/>
    <cellStyle name="Input 16 3 3" xfId="5116" xr:uid="{00000000-0005-0000-0000-000037130000}"/>
    <cellStyle name="Input 16 3 4" xfId="8079" xr:uid="{00000000-0005-0000-0000-000038130000}"/>
    <cellStyle name="Input 16 3 5" xfId="10986" xr:uid="{00000000-0005-0000-0000-000039130000}"/>
    <cellStyle name="Input 16 4" xfId="1396" xr:uid="{00000000-0005-0000-0000-00003A130000}"/>
    <cellStyle name="Input 16 4 2" xfId="2892" xr:uid="{00000000-0005-0000-0000-00003B130000}"/>
    <cellStyle name="Input 16 4 2 2" xfId="6471" xr:uid="{00000000-0005-0000-0000-00003C130000}"/>
    <cellStyle name="Input 16 4 2 3" xfId="8472" xr:uid="{00000000-0005-0000-0000-00003D130000}"/>
    <cellStyle name="Input 16 4 2 4" xfId="9797" xr:uid="{00000000-0005-0000-0000-00003E130000}"/>
    <cellStyle name="Input 16 4 3" xfId="4994" xr:uid="{00000000-0005-0000-0000-00003F130000}"/>
    <cellStyle name="Input 16 4 4" xfId="4338" xr:uid="{00000000-0005-0000-0000-000040130000}"/>
    <cellStyle name="Input 16 4 5" xfId="10879" xr:uid="{00000000-0005-0000-0000-000041130000}"/>
    <cellStyle name="Input 16 5" xfId="1440" xr:uid="{00000000-0005-0000-0000-000042130000}"/>
    <cellStyle name="Input 16 5 2" xfId="2927" xr:uid="{00000000-0005-0000-0000-000043130000}"/>
    <cellStyle name="Input 16 5 2 2" xfId="6505" xr:uid="{00000000-0005-0000-0000-000044130000}"/>
    <cellStyle name="Input 16 5 2 3" xfId="8507" xr:uid="{00000000-0005-0000-0000-000045130000}"/>
    <cellStyle name="Input 16 5 2 4" xfId="9830" xr:uid="{00000000-0005-0000-0000-000046130000}"/>
    <cellStyle name="Input 16 5 3" xfId="5038" xr:uid="{00000000-0005-0000-0000-000047130000}"/>
    <cellStyle name="Input 16 5 4" xfId="7734" xr:uid="{00000000-0005-0000-0000-000048130000}"/>
    <cellStyle name="Input 16 5 5" xfId="10911" xr:uid="{00000000-0005-0000-0000-000049130000}"/>
    <cellStyle name="Input 16 6" xfId="2581" xr:uid="{00000000-0005-0000-0000-00004A130000}"/>
    <cellStyle name="Input 16 6 2" xfId="6169" xr:uid="{00000000-0005-0000-0000-00004B130000}"/>
    <cellStyle name="Input 16 6 3" xfId="8195" xr:uid="{00000000-0005-0000-0000-00004C130000}"/>
    <cellStyle name="Input 16 6 4" xfId="9546" xr:uid="{00000000-0005-0000-0000-00004D130000}"/>
    <cellStyle name="Input 16 7" xfId="4485" xr:uid="{00000000-0005-0000-0000-00004E130000}"/>
    <cellStyle name="Input 16 8" xfId="6266" xr:uid="{00000000-0005-0000-0000-00004F130000}"/>
    <cellStyle name="Input 16 9" xfId="4289" xr:uid="{00000000-0005-0000-0000-000050130000}"/>
    <cellStyle name="Input 17" xfId="872" xr:uid="{00000000-0005-0000-0000-000051130000}"/>
    <cellStyle name="Input 17 2" xfId="1186" xr:uid="{00000000-0005-0000-0000-000052130000}"/>
    <cellStyle name="Input 17 2 10" xfId="2442" xr:uid="{00000000-0005-0000-0000-000053130000}"/>
    <cellStyle name="Input 17 2 10 2" xfId="3897" xr:uid="{00000000-0005-0000-0000-000054130000}"/>
    <cellStyle name="Input 17 2 10 2 2" xfId="7467" xr:uid="{00000000-0005-0000-0000-000055130000}"/>
    <cellStyle name="Input 17 2 10 2 3" xfId="9427" xr:uid="{00000000-0005-0000-0000-000056130000}"/>
    <cellStyle name="Input 17 2 10 2 4" xfId="10724" xr:uid="{00000000-0005-0000-0000-000057130000}"/>
    <cellStyle name="Input 17 2 10 3" xfId="6030" xr:uid="{00000000-0005-0000-0000-000058130000}"/>
    <cellStyle name="Input 17 2 10 4" xfId="4583" xr:uid="{00000000-0005-0000-0000-000059130000}"/>
    <cellStyle name="Input 17 2 10 5" xfId="11806" xr:uid="{00000000-0005-0000-0000-00005A130000}"/>
    <cellStyle name="Input 17 2 11" xfId="2495" xr:uid="{00000000-0005-0000-0000-00005B130000}"/>
    <cellStyle name="Input 17 2 11 2" xfId="3950" xr:uid="{00000000-0005-0000-0000-00005C130000}"/>
    <cellStyle name="Input 17 2 11 2 2" xfId="7520" xr:uid="{00000000-0005-0000-0000-00005D130000}"/>
    <cellStyle name="Input 17 2 11 2 3" xfId="9480" xr:uid="{00000000-0005-0000-0000-00005E130000}"/>
    <cellStyle name="Input 17 2 11 2 4" xfId="10777" xr:uid="{00000000-0005-0000-0000-00005F130000}"/>
    <cellStyle name="Input 17 2 11 3" xfId="6083" xr:uid="{00000000-0005-0000-0000-000060130000}"/>
    <cellStyle name="Input 17 2 11 4" xfId="4632" xr:uid="{00000000-0005-0000-0000-000061130000}"/>
    <cellStyle name="Input 17 2 11 5" xfId="11859" xr:uid="{00000000-0005-0000-0000-000062130000}"/>
    <cellStyle name="Input 17 2 12" xfId="2701" xr:uid="{00000000-0005-0000-0000-000063130000}"/>
    <cellStyle name="Input 17 2 12 2" xfId="6284" xr:uid="{00000000-0005-0000-0000-000064130000}"/>
    <cellStyle name="Input 17 2 12 3" xfId="8298" xr:uid="{00000000-0005-0000-0000-000065130000}"/>
    <cellStyle name="Input 17 2 12 4" xfId="9636" xr:uid="{00000000-0005-0000-0000-000066130000}"/>
    <cellStyle name="Input 17 2 13" xfId="4785" xr:uid="{00000000-0005-0000-0000-000067130000}"/>
    <cellStyle name="Input 17 2 14" xfId="4171" xr:uid="{00000000-0005-0000-0000-000068130000}"/>
    <cellStyle name="Input 17 2 15" xfId="7963" xr:uid="{00000000-0005-0000-0000-000069130000}"/>
    <cellStyle name="Input 17 2 2" xfId="1733" xr:uid="{00000000-0005-0000-0000-00006A130000}"/>
    <cellStyle name="Input 17 2 2 2" xfId="3210" xr:uid="{00000000-0005-0000-0000-00006B130000}"/>
    <cellStyle name="Input 17 2 2 2 2" xfId="6783" xr:uid="{00000000-0005-0000-0000-00006C130000}"/>
    <cellStyle name="Input 17 2 2 2 3" xfId="8761" xr:uid="{00000000-0005-0000-0000-00006D130000}"/>
    <cellStyle name="Input 17 2 2 2 4" xfId="10063" xr:uid="{00000000-0005-0000-0000-00006E130000}"/>
    <cellStyle name="Input 17 2 2 3" xfId="5325" xr:uid="{00000000-0005-0000-0000-00006F130000}"/>
    <cellStyle name="Input 17 2 2 4" xfId="4406" xr:uid="{00000000-0005-0000-0000-000070130000}"/>
    <cellStyle name="Input 17 2 2 5" xfId="11140" xr:uid="{00000000-0005-0000-0000-000071130000}"/>
    <cellStyle name="Input 17 2 3" xfId="1902" xr:uid="{00000000-0005-0000-0000-000072130000}"/>
    <cellStyle name="Input 17 2 3 2" xfId="3366" xr:uid="{00000000-0005-0000-0000-000073130000}"/>
    <cellStyle name="Input 17 2 3 2 2" xfId="6936" xr:uid="{00000000-0005-0000-0000-000074130000}"/>
    <cellStyle name="Input 17 2 3 2 3" xfId="8902" xr:uid="{00000000-0005-0000-0000-000075130000}"/>
    <cellStyle name="Input 17 2 3 2 4" xfId="10193" xr:uid="{00000000-0005-0000-0000-000076130000}"/>
    <cellStyle name="Input 17 2 3 3" xfId="5490" xr:uid="{00000000-0005-0000-0000-000077130000}"/>
    <cellStyle name="Input 17 2 3 4" xfId="7931" xr:uid="{00000000-0005-0000-0000-000078130000}"/>
    <cellStyle name="Input 17 2 3 5" xfId="11271" xr:uid="{00000000-0005-0000-0000-000079130000}"/>
    <cellStyle name="Input 17 2 4" xfId="1974" xr:uid="{00000000-0005-0000-0000-00007A130000}"/>
    <cellStyle name="Input 17 2 4 2" xfId="3437" xr:uid="{00000000-0005-0000-0000-00007B130000}"/>
    <cellStyle name="Input 17 2 4 2 2" xfId="7007" xr:uid="{00000000-0005-0000-0000-00007C130000}"/>
    <cellStyle name="Input 17 2 4 2 3" xfId="8973" xr:uid="{00000000-0005-0000-0000-00007D130000}"/>
    <cellStyle name="Input 17 2 4 2 4" xfId="10264" xr:uid="{00000000-0005-0000-0000-00007E130000}"/>
    <cellStyle name="Input 17 2 4 3" xfId="5562" xr:uid="{00000000-0005-0000-0000-00007F130000}"/>
    <cellStyle name="Input 17 2 4 4" xfId="4060" xr:uid="{00000000-0005-0000-0000-000080130000}"/>
    <cellStyle name="Input 17 2 4 5" xfId="11342" xr:uid="{00000000-0005-0000-0000-000081130000}"/>
    <cellStyle name="Input 17 2 5" xfId="2040" xr:uid="{00000000-0005-0000-0000-000082130000}"/>
    <cellStyle name="Input 17 2 5 2" xfId="3501" xr:uid="{00000000-0005-0000-0000-000083130000}"/>
    <cellStyle name="Input 17 2 5 2 2" xfId="7071" xr:uid="{00000000-0005-0000-0000-000084130000}"/>
    <cellStyle name="Input 17 2 5 2 3" xfId="9037" xr:uid="{00000000-0005-0000-0000-000085130000}"/>
    <cellStyle name="Input 17 2 5 2 4" xfId="10328" xr:uid="{00000000-0005-0000-0000-000086130000}"/>
    <cellStyle name="Input 17 2 5 3" xfId="5628" xr:uid="{00000000-0005-0000-0000-000087130000}"/>
    <cellStyle name="Input 17 2 5 4" xfId="7662" xr:uid="{00000000-0005-0000-0000-000088130000}"/>
    <cellStyle name="Input 17 2 5 5" xfId="11407" xr:uid="{00000000-0005-0000-0000-000089130000}"/>
    <cellStyle name="Input 17 2 6" xfId="2104" xr:uid="{00000000-0005-0000-0000-00008A130000}"/>
    <cellStyle name="Input 17 2 6 2" xfId="3563" xr:uid="{00000000-0005-0000-0000-00008B130000}"/>
    <cellStyle name="Input 17 2 6 2 2" xfId="7133" xr:uid="{00000000-0005-0000-0000-00008C130000}"/>
    <cellStyle name="Input 17 2 6 2 3" xfId="9098" xr:uid="{00000000-0005-0000-0000-00008D130000}"/>
    <cellStyle name="Input 17 2 6 2 4" xfId="10390" xr:uid="{00000000-0005-0000-0000-00008E130000}"/>
    <cellStyle name="Input 17 2 6 3" xfId="5692" xr:uid="{00000000-0005-0000-0000-00008F130000}"/>
    <cellStyle name="Input 17 2 6 4" xfId="4062" xr:uid="{00000000-0005-0000-0000-000090130000}"/>
    <cellStyle name="Input 17 2 6 5" xfId="11470" xr:uid="{00000000-0005-0000-0000-000091130000}"/>
    <cellStyle name="Input 17 2 7" xfId="2177" xr:uid="{00000000-0005-0000-0000-000092130000}"/>
    <cellStyle name="Input 17 2 7 2" xfId="3636" xr:uid="{00000000-0005-0000-0000-000093130000}"/>
    <cellStyle name="Input 17 2 7 2 2" xfId="7206" xr:uid="{00000000-0005-0000-0000-000094130000}"/>
    <cellStyle name="Input 17 2 7 2 3" xfId="9171" xr:uid="{00000000-0005-0000-0000-000095130000}"/>
    <cellStyle name="Input 17 2 7 2 4" xfId="10463" xr:uid="{00000000-0005-0000-0000-000096130000}"/>
    <cellStyle name="Input 17 2 7 3" xfId="5765" xr:uid="{00000000-0005-0000-0000-000097130000}"/>
    <cellStyle name="Input 17 2 7 4" xfId="4509" xr:uid="{00000000-0005-0000-0000-000098130000}"/>
    <cellStyle name="Input 17 2 7 5" xfId="11543" xr:uid="{00000000-0005-0000-0000-000099130000}"/>
    <cellStyle name="Input 17 2 8" xfId="2281" xr:uid="{00000000-0005-0000-0000-00009A130000}"/>
    <cellStyle name="Input 17 2 8 2" xfId="3738" xr:uid="{00000000-0005-0000-0000-00009B130000}"/>
    <cellStyle name="Input 17 2 8 2 2" xfId="7308" xr:uid="{00000000-0005-0000-0000-00009C130000}"/>
    <cellStyle name="Input 17 2 8 2 3" xfId="9271" xr:uid="{00000000-0005-0000-0000-00009D130000}"/>
    <cellStyle name="Input 17 2 8 2 4" xfId="10565" xr:uid="{00000000-0005-0000-0000-00009E130000}"/>
    <cellStyle name="Input 17 2 8 3" xfId="5869" xr:uid="{00000000-0005-0000-0000-00009F130000}"/>
    <cellStyle name="Input 17 2 8 4" xfId="6728" xr:uid="{00000000-0005-0000-0000-0000A0130000}"/>
    <cellStyle name="Input 17 2 8 5" xfId="11646" xr:uid="{00000000-0005-0000-0000-0000A1130000}"/>
    <cellStyle name="Input 17 2 9" xfId="2373" xr:uid="{00000000-0005-0000-0000-0000A2130000}"/>
    <cellStyle name="Input 17 2 9 2" xfId="3829" xr:uid="{00000000-0005-0000-0000-0000A3130000}"/>
    <cellStyle name="Input 17 2 9 2 2" xfId="7399" xr:uid="{00000000-0005-0000-0000-0000A4130000}"/>
    <cellStyle name="Input 17 2 9 2 3" xfId="9361" xr:uid="{00000000-0005-0000-0000-0000A5130000}"/>
    <cellStyle name="Input 17 2 9 2 4" xfId="10656" xr:uid="{00000000-0005-0000-0000-0000A6130000}"/>
    <cellStyle name="Input 17 2 9 3" xfId="5961" xr:uid="{00000000-0005-0000-0000-0000A7130000}"/>
    <cellStyle name="Input 17 2 9 4" xfId="5248" xr:uid="{00000000-0005-0000-0000-0000A8130000}"/>
    <cellStyle name="Input 17 2 9 5" xfId="11737" xr:uid="{00000000-0005-0000-0000-0000A9130000}"/>
    <cellStyle name="Input 17 3" xfId="1520" xr:uid="{00000000-0005-0000-0000-0000AA130000}"/>
    <cellStyle name="Input 17 3 2" xfId="3004" xr:uid="{00000000-0005-0000-0000-0000AB130000}"/>
    <cellStyle name="Input 17 3 2 2" xfId="6581" xr:uid="{00000000-0005-0000-0000-0000AC130000}"/>
    <cellStyle name="Input 17 3 2 3" xfId="8582" xr:uid="{00000000-0005-0000-0000-0000AD130000}"/>
    <cellStyle name="Input 17 3 2 4" xfId="9905" xr:uid="{00000000-0005-0000-0000-0000AE130000}"/>
    <cellStyle name="Input 17 3 3" xfId="5117" xr:uid="{00000000-0005-0000-0000-0000AF130000}"/>
    <cellStyle name="Input 17 3 4" xfId="9259" xr:uid="{00000000-0005-0000-0000-0000B0130000}"/>
    <cellStyle name="Input 17 3 5" xfId="10987" xr:uid="{00000000-0005-0000-0000-0000B1130000}"/>
    <cellStyle name="Input 17 4" xfId="1395" xr:uid="{00000000-0005-0000-0000-0000B2130000}"/>
    <cellStyle name="Input 17 4 2" xfId="2891" xr:uid="{00000000-0005-0000-0000-0000B3130000}"/>
    <cellStyle name="Input 17 4 2 2" xfId="6470" xr:uid="{00000000-0005-0000-0000-0000B4130000}"/>
    <cellStyle name="Input 17 4 2 3" xfId="8471" xr:uid="{00000000-0005-0000-0000-0000B5130000}"/>
    <cellStyle name="Input 17 4 2 4" xfId="9796" xr:uid="{00000000-0005-0000-0000-0000B6130000}"/>
    <cellStyle name="Input 17 4 3" xfId="4993" xr:uid="{00000000-0005-0000-0000-0000B7130000}"/>
    <cellStyle name="Input 17 4 4" xfId="4337" xr:uid="{00000000-0005-0000-0000-0000B8130000}"/>
    <cellStyle name="Input 17 4 5" xfId="10878" xr:uid="{00000000-0005-0000-0000-0000B9130000}"/>
    <cellStyle name="Input 17 5" xfId="1441" xr:uid="{00000000-0005-0000-0000-0000BA130000}"/>
    <cellStyle name="Input 17 5 2" xfId="2928" xr:uid="{00000000-0005-0000-0000-0000BB130000}"/>
    <cellStyle name="Input 17 5 2 2" xfId="6506" xr:uid="{00000000-0005-0000-0000-0000BC130000}"/>
    <cellStyle name="Input 17 5 2 3" xfId="8508" xr:uid="{00000000-0005-0000-0000-0000BD130000}"/>
    <cellStyle name="Input 17 5 2 4" xfId="9831" xr:uid="{00000000-0005-0000-0000-0000BE130000}"/>
    <cellStyle name="Input 17 5 3" xfId="5039" xr:uid="{00000000-0005-0000-0000-0000BF130000}"/>
    <cellStyle name="Input 17 5 4" xfId="8535" xr:uid="{00000000-0005-0000-0000-0000C0130000}"/>
    <cellStyle name="Input 17 5 5" xfId="10912" xr:uid="{00000000-0005-0000-0000-0000C1130000}"/>
    <cellStyle name="Input 17 6" xfId="2582" xr:uid="{00000000-0005-0000-0000-0000C2130000}"/>
    <cellStyle name="Input 17 6 2" xfId="6170" xr:uid="{00000000-0005-0000-0000-0000C3130000}"/>
    <cellStyle name="Input 17 6 3" xfId="8196" xr:uid="{00000000-0005-0000-0000-0000C4130000}"/>
    <cellStyle name="Input 17 6 4" xfId="9547" xr:uid="{00000000-0005-0000-0000-0000C5130000}"/>
    <cellStyle name="Input 17 7" xfId="4486" xr:uid="{00000000-0005-0000-0000-0000C6130000}"/>
    <cellStyle name="Input 17 8" xfId="6761" xr:uid="{00000000-0005-0000-0000-0000C7130000}"/>
    <cellStyle name="Input 17 9" xfId="4153" xr:uid="{00000000-0005-0000-0000-0000C8130000}"/>
    <cellStyle name="Input 18" xfId="873" xr:uid="{00000000-0005-0000-0000-0000C9130000}"/>
    <cellStyle name="Input 18 2" xfId="1187" xr:uid="{00000000-0005-0000-0000-0000CA130000}"/>
    <cellStyle name="Input 18 2 10" xfId="2443" xr:uid="{00000000-0005-0000-0000-0000CB130000}"/>
    <cellStyle name="Input 18 2 10 2" xfId="3898" xr:uid="{00000000-0005-0000-0000-0000CC130000}"/>
    <cellStyle name="Input 18 2 10 2 2" xfId="7468" xr:uid="{00000000-0005-0000-0000-0000CD130000}"/>
    <cellStyle name="Input 18 2 10 2 3" xfId="9428" xr:uid="{00000000-0005-0000-0000-0000CE130000}"/>
    <cellStyle name="Input 18 2 10 2 4" xfId="10725" xr:uid="{00000000-0005-0000-0000-0000CF130000}"/>
    <cellStyle name="Input 18 2 10 3" xfId="6031" xr:uid="{00000000-0005-0000-0000-0000D0130000}"/>
    <cellStyle name="Input 18 2 10 4" xfId="4726" xr:uid="{00000000-0005-0000-0000-0000D1130000}"/>
    <cellStyle name="Input 18 2 10 5" xfId="11807" xr:uid="{00000000-0005-0000-0000-0000D2130000}"/>
    <cellStyle name="Input 18 2 11" xfId="2496" xr:uid="{00000000-0005-0000-0000-0000D3130000}"/>
    <cellStyle name="Input 18 2 11 2" xfId="3951" xr:uid="{00000000-0005-0000-0000-0000D4130000}"/>
    <cellStyle name="Input 18 2 11 2 2" xfId="7521" xr:uid="{00000000-0005-0000-0000-0000D5130000}"/>
    <cellStyle name="Input 18 2 11 2 3" xfId="9481" xr:uid="{00000000-0005-0000-0000-0000D6130000}"/>
    <cellStyle name="Input 18 2 11 2 4" xfId="10778" xr:uid="{00000000-0005-0000-0000-0000D7130000}"/>
    <cellStyle name="Input 18 2 11 3" xfId="6084" xr:uid="{00000000-0005-0000-0000-0000D8130000}"/>
    <cellStyle name="Input 18 2 11 4" xfId="4633" xr:uid="{00000000-0005-0000-0000-0000D9130000}"/>
    <cellStyle name="Input 18 2 11 5" xfId="11860" xr:uid="{00000000-0005-0000-0000-0000DA130000}"/>
    <cellStyle name="Input 18 2 12" xfId="2702" xr:uid="{00000000-0005-0000-0000-0000DB130000}"/>
    <cellStyle name="Input 18 2 12 2" xfId="6285" xr:uid="{00000000-0005-0000-0000-0000DC130000}"/>
    <cellStyle name="Input 18 2 12 3" xfId="8299" xr:uid="{00000000-0005-0000-0000-0000DD130000}"/>
    <cellStyle name="Input 18 2 12 4" xfId="9637" xr:uid="{00000000-0005-0000-0000-0000DE130000}"/>
    <cellStyle name="Input 18 2 13" xfId="4786" xr:uid="{00000000-0005-0000-0000-0000DF130000}"/>
    <cellStyle name="Input 18 2 14" xfId="4170" xr:uid="{00000000-0005-0000-0000-0000E0130000}"/>
    <cellStyle name="Input 18 2 15" xfId="7942" xr:uid="{00000000-0005-0000-0000-0000E1130000}"/>
    <cellStyle name="Input 18 2 2" xfId="1734" xr:uid="{00000000-0005-0000-0000-0000E2130000}"/>
    <cellStyle name="Input 18 2 2 2" xfId="3211" xr:uid="{00000000-0005-0000-0000-0000E3130000}"/>
    <cellStyle name="Input 18 2 2 2 2" xfId="6784" xr:uid="{00000000-0005-0000-0000-0000E4130000}"/>
    <cellStyle name="Input 18 2 2 2 3" xfId="8762" xr:uid="{00000000-0005-0000-0000-0000E5130000}"/>
    <cellStyle name="Input 18 2 2 2 4" xfId="10064" xr:uid="{00000000-0005-0000-0000-0000E6130000}"/>
    <cellStyle name="Input 18 2 2 3" xfId="5326" xr:uid="{00000000-0005-0000-0000-0000E7130000}"/>
    <cellStyle name="Input 18 2 2 4" xfId="4407" xr:uid="{00000000-0005-0000-0000-0000E8130000}"/>
    <cellStyle name="Input 18 2 2 5" xfId="11141" xr:uid="{00000000-0005-0000-0000-0000E9130000}"/>
    <cellStyle name="Input 18 2 3" xfId="1903" xr:uid="{00000000-0005-0000-0000-0000EA130000}"/>
    <cellStyle name="Input 18 2 3 2" xfId="3367" xr:uid="{00000000-0005-0000-0000-0000EB130000}"/>
    <cellStyle name="Input 18 2 3 2 2" xfId="6937" xr:uid="{00000000-0005-0000-0000-0000EC130000}"/>
    <cellStyle name="Input 18 2 3 2 3" xfId="8903" xr:uid="{00000000-0005-0000-0000-0000ED130000}"/>
    <cellStyle name="Input 18 2 3 2 4" xfId="10194" xr:uid="{00000000-0005-0000-0000-0000EE130000}"/>
    <cellStyle name="Input 18 2 3 3" xfId="5491" xr:uid="{00000000-0005-0000-0000-0000EF130000}"/>
    <cellStyle name="Input 18 2 3 4" xfId="7640" xr:uid="{00000000-0005-0000-0000-0000F0130000}"/>
    <cellStyle name="Input 18 2 3 5" xfId="11272" xr:uid="{00000000-0005-0000-0000-0000F1130000}"/>
    <cellStyle name="Input 18 2 4" xfId="1975" xr:uid="{00000000-0005-0000-0000-0000F2130000}"/>
    <cellStyle name="Input 18 2 4 2" xfId="3438" xr:uid="{00000000-0005-0000-0000-0000F3130000}"/>
    <cellStyle name="Input 18 2 4 2 2" xfId="7008" xr:uid="{00000000-0005-0000-0000-0000F4130000}"/>
    <cellStyle name="Input 18 2 4 2 3" xfId="8974" xr:uid="{00000000-0005-0000-0000-0000F5130000}"/>
    <cellStyle name="Input 18 2 4 2 4" xfId="10265" xr:uid="{00000000-0005-0000-0000-0000F6130000}"/>
    <cellStyle name="Input 18 2 4 3" xfId="5563" xr:uid="{00000000-0005-0000-0000-0000F7130000}"/>
    <cellStyle name="Input 18 2 4 4" xfId="7645" xr:uid="{00000000-0005-0000-0000-0000F8130000}"/>
    <cellStyle name="Input 18 2 4 5" xfId="11343" xr:uid="{00000000-0005-0000-0000-0000F9130000}"/>
    <cellStyle name="Input 18 2 5" xfId="2041" xr:uid="{00000000-0005-0000-0000-0000FA130000}"/>
    <cellStyle name="Input 18 2 5 2" xfId="3502" xr:uid="{00000000-0005-0000-0000-0000FB130000}"/>
    <cellStyle name="Input 18 2 5 2 2" xfId="7072" xr:uid="{00000000-0005-0000-0000-0000FC130000}"/>
    <cellStyle name="Input 18 2 5 2 3" xfId="9038" xr:uid="{00000000-0005-0000-0000-0000FD130000}"/>
    <cellStyle name="Input 18 2 5 2 4" xfId="10329" xr:uid="{00000000-0005-0000-0000-0000FE130000}"/>
    <cellStyle name="Input 18 2 5 3" xfId="5629" xr:uid="{00000000-0005-0000-0000-0000FF130000}"/>
    <cellStyle name="Input 18 2 5 4" xfId="4083" xr:uid="{00000000-0005-0000-0000-000000140000}"/>
    <cellStyle name="Input 18 2 5 5" xfId="11408" xr:uid="{00000000-0005-0000-0000-000001140000}"/>
    <cellStyle name="Input 18 2 6" xfId="2105" xr:uid="{00000000-0005-0000-0000-000002140000}"/>
    <cellStyle name="Input 18 2 6 2" xfId="3564" xr:uid="{00000000-0005-0000-0000-000003140000}"/>
    <cellStyle name="Input 18 2 6 2 2" xfId="7134" xr:uid="{00000000-0005-0000-0000-000004140000}"/>
    <cellStyle name="Input 18 2 6 2 3" xfId="9099" xr:uid="{00000000-0005-0000-0000-000005140000}"/>
    <cellStyle name="Input 18 2 6 2 4" xfId="10391" xr:uid="{00000000-0005-0000-0000-000006140000}"/>
    <cellStyle name="Input 18 2 6 3" xfId="5693" xr:uid="{00000000-0005-0000-0000-000007140000}"/>
    <cellStyle name="Input 18 2 6 4" xfId="7658" xr:uid="{00000000-0005-0000-0000-000008140000}"/>
    <cellStyle name="Input 18 2 6 5" xfId="11471" xr:uid="{00000000-0005-0000-0000-000009140000}"/>
    <cellStyle name="Input 18 2 7" xfId="2178" xr:uid="{00000000-0005-0000-0000-00000A140000}"/>
    <cellStyle name="Input 18 2 7 2" xfId="3637" xr:uid="{00000000-0005-0000-0000-00000B140000}"/>
    <cellStyle name="Input 18 2 7 2 2" xfId="7207" xr:uid="{00000000-0005-0000-0000-00000C140000}"/>
    <cellStyle name="Input 18 2 7 2 3" xfId="9172" xr:uid="{00000000-0005-0000-0000-00000D140000}"/>
    <cellStyle name="Input 18 2 7 2 4" xfId="10464" xr:uid="{00000000-0005-0000-0000-00000E140000}"/>
    <cellStyle name="Input 18 2 7 3" xfId="5766" xr:uid="{00000000-0005-0000-0000-00000F140000}"/>
    <cellStyle name="Input 18 2 7 4" xfId="5140" xr:uid="{00000000-0005-0000-0000-000010140000}"/>
    <cellStyle name="Input 18 2 7 5" xfId="11544" xr:uid="{00000000-0005-0000-0000-000011140000}"/>
    <cellStyle name="Input 18 2 8" xfId="2282" xr:uid="{00000000-0005-0000-0000-000012140000}"/>
    <cellStyle name="Input 18 2 8 2" xfId="3739" xr:uid="{00000000-0005-0000-0000-000013140000}"/>
    <cellStyle name="Input 18 2 8 2 2" xfId="7309" xr:uid="{00000000-0005-0000-0000-000014140000}"/>
    <cellStyle name="Input 18 2 8 2 3" xfId="9272" xr:uid="{00000000-0005-0000-0000-000015140000}"/>
    <cellStyle name="Input 18 2 8 2 4" xfId="10566" xr:uid="{00000000-0005-0000-0000-000016140000}"/>
    <cellStyle name="Input 18 2 8 3" xfId="5870" xr:uid="{00000000-0005-0000-0000-000017140000}"/>
    <cellStyle name="Input 18 2 8 4" xfId="4683" xr:uid="{00000000-0005-0000-0000-000018140000}"/>
    <cellStyle name="Input 18 2 8 5" xfId="11647" xr:uid="{00000000-0005-0000-0000-000019140000}"/>
    <cellStyle name="Input 18 2 9" xfId="2374" xr:uid="{00000000-0005-0000-0000-00001A140000}"/>
    <cellStyle name="Input 18 2 9 2" xfId="3830" xr:uid="{00000000-0005-0000-0000-00001B140000}"/>
    <cellStyle name="Input 18 2 9 2 2" xfId="7400" xr:uid="{00000000-0005-0000-0000-00001C140000}"/>
    <cellStyle name="Input 18 2 9 2 3" xfId="9362" xr:uid="{00000000-0005-0000-0000-00001D140000}"/>
    <cellStyle name="Input 18 2 9 2 4" xfId="10657" xr:uid="{00000000-0005-0000-0000-00001E140000}"/>
    <cellStyle name="Input 18 2 9 3" xfId="5962" xr:uid="{00000000-0005-0000-0000-00001F140000}"/>
    <cellStyle name="Input 18 2 9 4" xfId="6708" xr:uid="{00000000-0005-0000-0000-000020140000}"/>
    <cellStyle name="Input 18 2 9 5" xfId="11738" xr:uid="{00000000-0005-0000-0000-000021140000}"/>
    <cellStyle name="Input 18 3" xfId="1521" xr:uid="{00000000-0005-0000-0000-000022140000}"/>
    <cellStyle name="Input 18 3 2" xfId="3005" xr:uid="{00000000-0005-0000-0000-000023140000}"/>
    <cellStyle name="Input 18 3 2 2" xfId="6582" xr:uid="{00000000-0005-0000-0000-000024140000}"/>
    <cellStyle name="Input 18 3 2 3" xfId="8583" xr:uid="{00000000-0005-0000-0000-000025140000}"/>
    <cellStyle name="Input 18 3 2 4" xfId="9906" xr:uid="{00000000-0005-0000-0000-000026140000}"/>
    <cellStyle name="Input 18 3 3" xfId="5118" xr:uid="{00000000-0005-0000-0000-000027140000}"/>
    <cellStyle name="Input 18 3 4" xfId="8036" xr:uid="{00000000-0005-0000-0000-000028140000}"/>
    <cellStyle name="Input 18 3 5" xfId="10988" xr:uid="{00000000-0005-0000-0000-000029140000}"/>
    <cellStyle name="Input 18 4" xfId="1394" xr:uid="{00000000-0005-0000-0000-00002A140000}"/>
    <cellStyle name="Input 18 4 2" xfId="2890" xr:uid="{00000000-0005-0000-0000-00002B140000}"/>
    <cellStyle name="Input 18 4 2 2" xfId="6469" xr:uid="{00000000-0005-0000-0000-00002C140000}"/>
    <cellStyle name="Input 18 4 2 3" xfId="8470" xr:uid="{00000000-0005-0000-0000-00002D140000}"/>
    <cellStyle name="Input 18 4 2 4" xfId="9795" xr:uid="{00000000-0005-0000-0000-00002E140000}"/>
    <cellStyle name="Input 18 4 3" xfId="4992" xr:uid="{00000000-0005-0000-0000-00002F140000}"/>
    <cellStyle name="Input 18 4 4" xfId="4336" xr:uid="{00000000-0005-0000-0000-000030140000}"/>
    <cellStyle name="Input 18 4 5" xfId="10877" xr:uid="{00000000-0005-0000-0000-000031140000}"/>
    <cellStyle name="Input 18 5" xfId="1554" xr:uid="{00000000-0005-0000-0000-000032140000}"/>
    <cellStyle name="Input 18 5 2" xfId="3038" xr:uid="{00000000-0005-0000-0000-000033140000}"/>
    <cellStyle name="Input 18 5 2 2" xfId="6615" xr:uid="{00000000-0005-0000-0000-000034140000}"/>
    <cellStyle name="Input 18 5 2 3" xfId="8606" xr:uid="{00000000-0005-0000-0000-000035140000}"/>
    <cellStyle name="Input 18 5 2 4" xfId="9922" xr:uid="{00000000-0005-0000-0000-000036140000}"/>
    <cellStyle name="Input 18 5 3" xfId="5151" xr:uid="{00000000-0005-0000-0000-000037140000}"/>
    <cellStyle name="Input 18 5 4" xfId="7728" xr:uid="{00000000-0005-0000-0000-000038140000}"/>
    <cellStyle name="Input 18 5 5" xfId="11004" xr:uid="{00000000-0005-0000-0000-000039140000}"/>
    <cellStyle name="Input 18 6" xfId="2583" xr:uid="{00000000-0005-0000-0000-00003A140000}"/>
    <cellStyle name="Input 18 6 2" xfId="6171" xr:uid="{00000000-0005-0000-0000-00003B140000}"/>
    <cellStyle name="Input 18 6 3" xfId="8197" xr:uid="{00000000-0005-0000-0000-00003C140000}"/>
    <cellStyle name="Input 18 6 4" xfId="9548" xr:uid="{00000000-0005-0000-0000-00003D140000}"/>
    <cellStyle name="Input 18 7" xfId="4487" xr:uid="{00000000-0005-0000-0000-00003E140000}"/>
    <cellStyle name="Input 18 8" xfId="5301" xr:uid="{00000000-0005-0000-0000-00003F140000}"/>
    <cellStyle name="Input 18 9" xfId="4152" xr:uid="{00000000-0005-0000-0000-000040140000}"/>
    <cellStyle name="Input 19" xfId="874" xr:uid="{00000000-0005-0000-0000-000041140000}"/>
    <cellStyle name="Input 19 2" xfId="1188" xr:uid="{00000000-0005-0000-0000-000042140000}"/>
    <cellStyle name="Input 19 2 10" xfId="2444" xr:uid="{00000000-0005-0000-0000-000043140000}"/>
    <cellStyle name="Input 19 2 10 2" xfId="3899" xr:uid="{00000000-0005-0000-0000-000044140000}"/>
    <cellStyle name="Input 19 2 10 2 2" xfId="7469" xr:uid="{00000000-0005-0000-0000-000045140000}"/>
    <cellStyle name="Input 19 2 10 2 3" xfId="9429" xr:uid="{00000000-0005-0000-0000-000046140000}"/>
    <cellStyle name="Input 19 2 10 2 4" xfId="10726" xr:uid="{00000000-0005-0000-0000-000047140000}"/>
    <cellStyle name="Input 19 2 10 3" xfId="6032" xr:uid="{00000000-0005-0000-0000-000048140000}"/>
    <cellStyle name="Input 19 2 10 4" xfId="4692" xr:uid="{00000000-0005-0000-0000-000049140000}"/>
    <cellStyle name="Input 19 2 10 5" xfId="11808" xr:uid="{00000000-0005-0000-0000-00004A140000}"/>
    <cellStyle name="Input 19 2 11" xfId="2497" xr:uid="{00000000-0005-0000-0000-00004B140000}"/>
    <cellStyle name="Input 19 2 11 2" xfId="3952" xr:uid="{00000000-0005-0000-0000-00004C140000}"/>
    <cellStyle name="Input 19 2 11 2 2" xfId="7522" xr:uid="{00000000-0005-0000-0000-00004D140000}"/>
    <cellStyle name="Input 19 2 11 2 3" xfId="9482" xr:uid="{00000000-0005-0000-0000-00004E140000}"/>
    <cellStyle name="Input 19 2 11 2 4" xfId="10779" xr:uid="{00000000-0005-0000-0000-00004F140000}"/>
    <cellStyle name="Input 19 2 11 3" xfId="6085" xr:uid="{00000000-0005-0000-0000-000050140000}"/>
    <cellStyle name="Input 19 2 11 4" xfId="4634" xr:uid="{00000000-0005-0000-0000-000051140000}"/>
    <cellStyle name="Input 19 2 11 5" xfId="11861" xr:uid="{00000000-0005-0000-0000-000052140000}"/>
    <cellStyle name="Input 19 2 12" xfId="2703" xr:uid="{00000000-0005-0000-0000-000053140000}"/>
    <cellStyle name="Input 19 2 12 2" xfId="6286" xr:uid="{00000000-0005-0000-0000-000054140000}"/>
    <cellStyle name="Input 19 2 12 3" xfId="8300" xr:uid="{00000000-0005-0000-0000-000055140000}"/>
    <cellStyle name="Input 19 2 12 4" xfId="9638" xr:uid="{00000000-0005-0000-0000-000056140000}"/>
    <cellStyle name="Input 19 2 13" xfId="4787" xr:uid="{00000000-0005-0000-0000-000057140000}"/>
    <cellStyle name="Input 19 2 14" xfId="752" xr:uid="{00000000-0005-0000-0000-000058140000}"/>
    <cellStyle name="Input 19 2 15" xfId="7917" xr:uid="{00000000-0005-0000-0000-000059140000}"/>
    <cellStyle name="Input 19 2 2" xfId="1735" xr:uid="{00000000-0005-0000-0000-00005A140000}"/>
    <cellStyle name="Input 19 2 2 2" xfId="3212" xr:uid="{00000000-0005-0000-0000-00005B140000}"/>
    <cellStyle name="Input 19 2 2 2 2" xfId="6785" xr:uid="{00000000-0005-0000-0000-00005C140000}"/>
    <cellStyle name="Input 19 2 2 2 3" xfId="8763" xr:uid="{00000000-0005-0000-0000-00005D140000}"/>
    <cellStyle name="Input 19 2 2 2 4" xfId="10065" xr:uid="{00000000-0005-0000-0000-00005E140000}"/>
    <cellStyle name="Input 19 2 2 3" xfId="5327" xr:uid="{00000000-0005-0000-0000-00005F140000}"/>
    <cellStyle name="Input 19 2 2 4" xfId="4408" xr:uid="{00000000-0005-0000-0000-000060140000}"/>
    <cellStyle name="Input 19 2 2 5" xfId="11142" xr:uid="{00000000-0005-0000-0000-000061140000}"/>
    <cellStyle name="Input 19 2 3" xfId="1904" xr:uid="{00000000-0005-0000-0000-000062140000}"/>
    <cellStyle name="Input 19 2 3 2" xfId="3368" xr:uid="{00000000-0005-0000-0000-000063140000}"/>
    <cellStyle name="Input 19 2 3 2 2" xfId="6938" xr:uid="{00000000-0005-0000-0000-000064140000}"/>
    <cellStyle name="Input 19 2 3 2 3" xfId="8904" xr:uid="{00000000-0005-0000-0000-000065140000}"/>
    <cellStyle name="Input 19 2 3 2 4" xfId="10195" xr:uid="{00000000-0005-0000-0000-000066140000}"/>
    <cellStyle name="Input 19 2 3 3" xfId="5492" xr:uid="{00000000-0005-0000-0000-000067140000}"/>
    <cellStyle name="Input 19 2 3 4" xfId="7675" xr:uid="{00000000-0005-0000-0000-000068140000}"/>
    <cellStyle name="Input 19 2 3 5" xfId="11273" xr:uid="{00000000-0005-0000-0000-000069140000}"/>
    <cellStyle name="Input 19 2 4" xfId="1976" xr:uid="{00000000-0005-0000-0000-00006A140000}"/>
    <cellStyle name="Input 19 2 4 2" xfId="3439" xr:uid="{00000000-0005-0000-0000-00006B140000}"/>
    <cellStyle name="Input 19 2 4 2 2" xfId="7009" xr:uid="{00000000-0005-0000-0000-00006C140000}"/>
    <cellStyle name="Input 19 2 4 2 3" xfId="8975" xr:uid="{00000000-0005-0000-0000-00006D140000}"/>
    <cellStyle name="Input 19 2 4 2 4" xfId="10266" xr:uid="{00000000-0005-0000-0000-00006E140000}"/>
    <cellStyle name="Input 19 2 4 3" xfId="5564" xr:uid="{00000000-0005-0000-0000-00006F140000}"/>
    <cellStyle name="Input 19 2 4 4" xfId="4074" xr:uid="{00000000-0005-0000-0000-000070140000}"/>
    <cellStyle name="Input 19 2 4 5" xfId="11344" xr:uid="{00000000-0005-0000-0000-000071140000}"/>
    <cellStyle name="Input 19 2 5" xfId="2042" xr:uid="{00000000-0005-0000-0000-000072140000}"/>
    <cellStyle name="Input 19 2 5 2" xfId="3503" xr:uid="{00000000-0005-0000-0000-000073140000}"/>
    <cellStyle name="Input 19 2 5 2 2" xfId="7073" xr:uid="{00000000-0005-0000-0000-000074140000}"/>
    <cellStyle name="Input 19 2 5 2 3" xfId="9039" xr:uid="{00000000-0005-0000-0000-000075140000}"/>
    <cellStyle name="Input 19 2 5 2 4" xfId="10330" xr:uid="{00000000-0005-0000-0000-000076140000}"/>
    <cellStyle name="Input 19 2 5 3" xfId="5630" xr:uid="{00000000-0005-0000-0000-000077140000}"/>
    <cellStyle name="Input 19 2 5 4" xfId="7764" xr:uid="{00000000-0005-0000-0000-000078140000}"/>
    <cellStyle name="Input 19 2 5 5" xfId="11409" xr:uid="{00000000-0005-0000-0000-000079140000}"/>
    <cellStyle name="Input 19 2 6" xfId="2106" xr:uid="{00000000-0005-0000-0000-00007A140000}"/>
    <cellStyle name="Input 19 2 6 2" xfId="3565" xr:uid="{00000000-0005-0000-0000-00007B140000}"/>
    <cellStyle name="Input 19 2 6 2 2" xfId="7135" xr:uid="{00000000-0005-0000-0000-00007C140000}"/>
    <cellStyle name="Input 19 2 6 2 3" xfId="9100" xr:uid="{00000000-0005-0000-0000-00007D140000}"/>
    <cellStyle name="Input 19 2 6 2 4" xfId="10392" xr:uid="{00000000-0005-0000-0000-00007E140000}"/>
    <cellStyle name="Input 19 2 6 3" xfId="5694" xr:uid="{00000000-0005-0000-0000-00007F140000}"/>
    <cellStyle name="Input 19 2 6 4" xfId="4079" xr:uid="{00000000-0005-0000-0000-000080140000}"/>
    <cellStyle name="Input 19 2 6 5" xfId="11472" xr:uid="{00000000-0005-0000-0000-000081140000}"/>
    <cellStyle name="Input 19 2 7" xfId="2179" xr:uid="{00000000-0005-0000-0000-000082140000}"/>
    <cellStyle name="Input 19 2 7 2" xfId="3638" xr:uid="{00000000-0005-0000-0000-000083140000}"/>
    <cellStyle name="Input 19 2 7 2 2" xfId="7208" xr:uid="{00000000-0005-0000-0000-000084140000}"/>
    <cellStyle name="Input 19 2 7 2 3" xfId="9173" xr:uid="{00000000-0005-0000-0000-000085140000}"/>
    <cellStyle name="Input 19 2 7 2 4" xfId="10465" xr:uid="{00000000-0005-0000-0000-000086140000}"/>
    <cellStyle name="Input 19 2 7 3" xfId="5767" xr:uid="{00000000-0005-0000-0000-000087140000}"/>
    <cellStyle name="Input 19 2 7 4" xfId="6604" xr:uid="{00000000-0005-0000-0000-000088140000}"/>
    <cellStyle name="Input 19 2 7 5" xfId="11545" xr:uid="{00000000-0005-0000-0000-000089140000}"/>
    <cellStyle name="Input 19 2 8" xfId="2283" xr:uid="{00000000-0005-0000-0000-00008A140000}"/>
    <cellStyle name="Input 19 2 8 2" xfId="3740" xr:uid="{00000000-0005-0000-0000-00008B140000}"/>
    <cellStyle name="Input 19 2 8 2 2" xfId="7310" xr:uid="{00000000-0005-0000-0000-00008C140000}"/>
    <cellStyle name="Input 19 2 8 2 3" xfId="9273" xr:uid="{00000000-0005-0000-0000-00008D140000}"/>
    <cellStyle name="Input 19 2 8 2 4" xfId="10567" xr:uid="{00000000-0005-0000-0000-00008E140000}"/>
    <cellStyle name="Input 19 2 8 3" xfId="5871" xr:uid="{00000000-0005-0000-0000-00008F140000}"/>
    <cellStyle name="Input 19 2 8 4" xfId="6239" xr:uid="{00000000-0005-0000-0000-000090140000}"/>
    <cellStyle name="Input 19 2 8 5" xfId="11648" xr:uid="{00000000-0005-0000-0000-000091140000}"/>
    <cellStyle name="Input 19 2 9" xfId="2375" xr:uid="{00000000-0005-0000-0000-000092140000}"/>
    <cellStyle name="Input 19 2 9 2" xfId="3831" xr:uid="{00000000-0005-0000-0000-000093140000}"/>
    <cellStyle name="Input 19 2 9 2 2" xfId="7401" xr:uid="{00000000-0005-0000-0000-000094140000}"/>
    <cellStyle name="Input 19 2 9 2 3" xfId="9363" xr:uid="{00000000-0005-0000-0000-000095140000}"/>
    <cellStyle name="Input 19 2 9 2 4" xfId="10658" xr:uid="{00000000-0005-0000-0000-000096140000}"/>
    <cellStyle name="Input 19 2 9 3" xfId="5963" xr:uid="{00000000-0005-0000-0000-000097140000}"/>
    <cellStyle name="Input 19 2 9 4" xfId="6226" xr:uid="{00000000-0005-0000-0000-000098140000}"/>
    <cellStyle name="Input 19 2 9 5" xfId="11739" xr:uid="{00000000-0005-0000-0000-000099140000}"/>
    <cellStyle name="Input 19 3" xfId="1522" xr:uid="{00000000-0005-0000-0000-00009A140000}"/>
    <cellStyle name="Input 19 3 2" xfId="3006" xr:uid="{00000000-0005-0000-0000-00009B140000}"/>
    <cellStyle name="Input 19 3 2 2" xfId="6583" xr:uid="{00000000-0005-0000-0000-00009C140000}"/>
    <cellStyle name="Input 19 3 2 3" xfId="8584" xr:uid="{00000000-0005-0000-0000-00009D140000}"/>
    <cellStyle name="Input 19 3 2 4" xfId="9907" xr:uid="{00000000-0005-0000-0000-00009E140000}"/>
    <cellStyle name="Input 19 3 3" xfId="5119" xr:uid="{00000000-0005-0000-0000-00009F140000}"/>
    <cellStyle name="Input 19 3 4" xfId="8411" xr:uid="{00000000-0005-0000-0000-0000A0140000}"/>
    <cellStyle name="Input 19 3 5" xfId="10989" xr:uid="{00000000-0005-0000-0000-0000A1140000}"/>
    <cellStyle name="Input 19 4" xfId="1393" xr:uid="{00000000-0005-0000-0000-0000A2140000}"/>
    <cellStyle name="Input 19 4 2" xfId="2889" xr:uid="{00000000-0005-0000-0000-0000A3140000}"/>
    <cellStyle name="Input 19 4 2 2" xfId="6468" xr:uid="{00000000-0005-0000-0000-0000A4140000}"/>
    <cellStyle name="Input 19 4 2 3" xfId="8469" xr:uid="{00000000-0005-0000-0000-0000A5140000}"/>
    <cellStyle name="Input 19 4 2 4" xfId="9794" xr:uid="{00000000-0005-0000-0000-0000A6140000}"/>
    <cellStyle name="Input 19 4 3" xfId="4991" xr:uid="{00000000-0005-0000-0000-0000A7140000}"/>
    <cellStyle name="Input 19 4 4" xfId="4335" xr:uid="{00000000-0005-0000-0000-0000A8140000}"/>
    <cellStyle name="Input 19 4 5" xfId="10876" xr:uid="{00000000-0005-0000-0000-0000A9140000}"/>
    <cellStyle name="Input 19 5" xfId="1560" xr:uid="{00000000-0005-0000-0000-0000AA140000}"/>
    <cellStyle name="Input 19 5 2" xfId="3044" xr:uid="{00000000-0005-0000-0000-0000AB140000}"/>
    <cellStyle name="Input 19 5 2 2" xfId="6621" xr:uid="{00000000-0005-0000-0000-0000AC140000}"/>
    <cellStyle name="Input 19 5 2 3" xfId="8612" xr:uid="{00000000-0005-0000-0000-0000AD140000}"/>
    <cellStyle name="Input 19 5 2 4" xfId="9928" xr:uid="{00000000-0005-0000-0000-0000AE140000}"/>
    <cellStyle name="Input 19 5 3" xfId="5157" xr:uid="{00000000-0005-0000-0000-0000AF140000}"/>
    <cellStyle name="Input 19 5 4" xfId="8008" xr:uid="{00000000-0005-0000-0000-0000B0140000}"/>
    <cellStyle name="Input 19 5 5" xfId="11010" xr:uid="{00000000-0005-0000-0000-0000B1140000}"/>
    <cellStyle name="Input 19 6" xfId="2584" xr:uid="{00000000-0005-0000-0000-0000B2140000}"/>
    <cellStyle name="Input 19 6 2" xfId="6172" xr:uid="{00000000-0005-0000-0000-0000B3140000}"/>
    <cellStyle name="Input 19 6 3" xfId="8198" xr:uid="{00000000-0005-0000-0000-0000B4140000}"/>
    <cellStyle name="Input 19 6 4" xfId="9549" xr:uid="{00000000-0005-0000-0000-0000B5140000}"/>
    <cellStyle name="Input 19 7" xfId="4488" xr:uid="{00000000-0005-0000-0000-0000B6140000}"/>
    <cellStyle name="Input 19 8" xfId="4759" xr:uid="{00000000-0005-0000-0000-0000B7140000}"/>
    <cellStyle name="Input 19 9" xfId="4290" xr:uid="{00000000-0005-0000-0000-0000B8140000}"/>
    <cellStyle name="Input 2" xfId="182" xr:uid="{00000000-0005-0000-0000-0000B9140000}"/>
    <cellStyle name="Input 2 10" xfId="4237" xr:uid="{00000000-0005-0000-0000-0000BA140000}"/>
    <cellStyle name="Input 2 2" xfId="1124" xr:uid="{00000000-0005-0000-0000-0000BB140000}"/>
    <cellStyle name="Input 2 2 10" xfId="2332" xr:uid="{00000000-0005-0000-0000-0000BC140000}"/>
    <cellStyle name="Input 2 2 10 2" xfId="3789" xr:uid="{00000000-0005-0000-0000-0000BD140000}"/>
    <cellStyle name="Input 2 2 10 2 2" xfId="7359" xr:uid="{00000000-0005-0000-0000-0000BE140000}"/>
    <cellStyle name="Input 2 2 10 2 3" xfId="9322" xr:uid="{00000000-0005-0000-0000-0000BF140000}"/>
    <cellStyle name="Input 2 2 10 2 4" xfId="10616" xr:uid="{00000000-0005-0000-0000-0000C0140000}"/>
    <cellStyle name="Input 2 2 10 3" xfId="5920" xr:uid="{00000000-0005-0000-0000-0000C1140000}"/>
    <cellStyle name="Input 2 2 10 4" xfId="4806" xr:uid="{00000000-0005-0000-0000-0000C2140000}"/>
    <cellStyle name="Input 2 2 10 5" xfId="11697" xr:uid="{00000000-0005-0000-0000-0000C3140000}"/>
    <cellStyle name="Input 2 2 11" xfId="1455" xr:uid="{00000000-0005-0000-0000-0000C4140000}"/>
    <cellStyle name="Input 2 2 11 2" xfId="2941" xr:uid="{00000000-0005-0000-0000-0000C5140000}"/>
    <cellStyle name="Input 2 2 11 2 2" xfId="6518" xr:uid="{00000000-0005-0000-0000-0000C6140000}"/>
    <cellStyle name="Input 2 2 11 2 3" xfId="8521" xr:uid="{00000000-0005-0000-0000-0000C7140000}"/>
    <cellStyle name="Input 2 2 11 2 4" xfId="9842" xr:uid="{00000000-0005-0000-0000-0000C8140000}"/>
    <cellStyle name="Input 2 2 11 3" xfId="5052" xr:uid="{00000000-0005-0000-0000-0000C9140000}"/>
    <cellStyle name="Input 2 2 11 4" xfId="8893" xr:uid="{00000000-0005-0000-0000-0000CA140000}"/>
    <cellStyle name="Input 2 2 11 5" xfId="10923" xr:uid="{00000000-0005-0000-0000-0000CB140000}"/>
    <cellStyle name="Input 2 2 12" xfId="2656" xr:uid="{00000000-0005-0000-0000-0000CC140000}"/>
    <cellStyle name="Input 2 2 12 2" xfId="6241" xr:uid="{00000000-0005-0000-0000-0000CD140000}"/>
    <cellStyle name="Input 2 2 12 3" xfId="8257" xr:uid="{00000000-0005-0000-0000-0000CE140000}"/>
    <cellStyle name="Input 2 2 12 4" xfId="9598" xr:uid="{00000000-0005-0000-0000-0000CF140000}"/>
    <cellStyle name="Input 2 2 13" xfId="4725" xr:uid="{00000000-0005-0000-0000-0000D0140000}"/>
    <cellStyle name="Input 2 2 14" xfId="4221" xr:uid="{00000000-0005-0000-0000-0000D1140000}"/>
    <cellStyle name="Input 2 2 15" xfId="7825" xr:uid="{00000000-0005-0000-0000-0000D2140000}"/>
    <cellStyle name="Input 2 2 2" xfId="1679" xr:uid="{00000000-0005-0000-0000-0000D3140000}"/>
    <cellStyle name="Input 2 2 2 2" xfId="3157" xr:uid="{00000000-0005-0000-0000-0000D4140000}"/>
    <cellStyle name="Input 2 2 2 2 2" xfId="6731" xr:uid="{00000000-0005-0000-0000-0000D5140000}"/>
    <cellStyle name="Input 2 2 2 2 3" xfId="8712" xr:uid="{00000000-0005-0000-0000-0000D6140000}"/>
    <cellStyle name="Input 2 2 2 2 4" xfId="10017" xr:uid="{00000000-0005-0000-0000-0000D7140000}"/>
    <cellStyle name="Input 2 2 2 3" xfId="5271" xr:uid="{00000000-0005-0000-0000-0000D8140000}"/>
    <cellStyle name="Input 2 2 2 4" xfId="4367" xr:uid="{00000000-0005-0000-0000-0000D9140000}"/>
    <cellStyle name="Input 2 2 2 5" xfId="11094" xr:uid="{00000000-0005-0000-0000-0000DA140000}"/>
    <cellStyle name="Input 2 2 3" xfId="1850" xr:uid="{00000000-0005-0000-0000-0000DB140000}"/>
    <cellStyle name="Input 2 2 3 2" xfId="3322" xr:uid="{00000000-0005-0000-0000-0000DC140000}"/>
    <cellStyle name="Input 2 2 3 2 2" xfId="6892" xr:uid="{00000000-0005-0000-0000-0000DD140000}"/>
    <cellStyle name="Input 2 2 3 2 3" xfId="8860" xr:uid="{00000000-0005-0000-0000-0000DE140000}"/>
    <cellStyle name="Input 2 2 3 2 4" xfId="10151" xr:uid="{00000000-0005-0000-0000-0000DF140000}"/>
    <cellStyle name="Input 2 2 3 3" xfId="5439" xr:uid="{00000000-0005-0000-0000-0000E0140000}"/>
    <cellStyle name="Input 2 2 3 4" xfId="7767" xr:uid="{00000000-0005-0000-0000-0000E1140000}"/>
    <cellStyle name="Input 2 2 3 5" xfId="11229" xr:uid="{00000000-0005-0000-0000-0000E2140000}"/>
    <cellStyle name="Input 2 2 4" xfId="1565" xr:uid="{00000000-0005-0000-0000-0000E3140000}"/>
    <cellStyle name="Input 2 2 4 2" xfId="3048" xr:uid="{00000000-0005-0000-0000-0000E4140000}"/>
    <cellStyle name="Input 2 2 4 2 2" xfId="6625" xr:uid="{00000000-0005-0000-0000-0000E5140000}"/>
    <cellStyle name="Input 2 2 4 2 3" xfId="8615" xr:uid="{00000000-0005-0000-0000-0000E6140000}"/>
    <cellStyle name="Input 2 2 4 2 4" xfId="9932" xr:uid="{00000000-0005-0000-0000-0000E7140000}"/>
    <cellStyle name="Input 2 2 4 3" xfId="5162" xr:uid="{00000000-0005-0000-0000-0000E8140000}"/>
    <cellStyle name="Input 2 2 4 4" xfId="7771" xr:uid="{00000000-0005-0000-0000-0000E9140000}"/>
    <cellStyle name="Input 2 2 4 5" xfId="11014" xr:uid="{00000000-0005-0000-0000-0000EA140000}"/>
    <cellStyle name="Input 2 2 5" xfId="1325" xr:uid="{00000000-0005-0000-0000-0000EB140000}"/>
    <cellStyle name="Input 2 2 5 2" xfId="2824" xr:uid="{00000000-0005-0000-0000-0000EC140000}"/>
    <cellStyle name="Input 2 2 5 2 2" xfId="6403" xr:uid="{00000000-0005-0000-0000-0000ED140000}"/>
    <cellStyle name="Input 2 2 5 2 3" xfId="8406" xr:uid="{00000000-0005-0000-0000-0000EE140000}"/>
    <cellStyle name="Input 2 2 5 2 4" xfId="9729" xr:uid="{00000000-0005-0000-0000-0000EF140000}"/>
    <cellStyle name="Input 2 2 5 3" xfId="4923" xr:uid="{00000000-0005-0000-0000-0000F0140000}"/>
    <cellStyle name="Input 2 2 5 4" xfId="8086" xr:uid="{00000000-0005-0000-0000-0000F1140000}"/>
    <cellStyle name="Input 2 2 5 5" xfId="4114" xr:uid="{00000000-0005-0000-0000-0000F2140000}"/>
    <cellStyle name="Input 2 2 6" xfId="1463" xr:uid="{00000000-0005-0000-0000-0000F3140000}"/>
    <cellStyle name="Input 2 2 6 2" xfId="2948" xr:uid="{00000000-0005-0000-0000-0000F4140000}"/>
    <cellStyle name="Input 2 2 6 2 2" xfId="6525" xr:uid="{00000000-0005-0000-0000-0000F5140000}"/>
    <cellStyle name="Input 2 2 6 2 3" xfId="8528" xr:uid="{00000000-0005-0000-0000-0000F6140000}"/>
    <cellStyle name="Input 2 2 6 2 4" xfId="9849" xr:uid="{00000000-0005-0000-0000-0000F7140000}"/>
    <cellStyle name="Input 2 2 6 3" xfId="5060" xr:uid="{00000000-0005-0000-0000-0000F8140000}"/>
    <cellStyle name="Input 2 2 6 4" xfId="8605" xr:uid="{00000000-0005-0000-0000-0000F9140000}"/>
    <cellStyle name="Input 2 2 6 5" xfId="10930" xr:uid="{00000000-0005-0000-0000-0000FA140000}"/>
    <cellStyle name="Input 2 2 7" xfId="1343" xr:uid="{00000000-0005-0000-0000-0000FB140000}"/>
    <cellStyle name="Input 2 2 7 2" xfId="2841" xr:uid="{00000000-0005-0000-0000-0000FC140000}"/>
    <cellStyle name="Input 2 2 7 2 2" xfId="6420" xr:uid="{00000000-0005-0000-0000-0000FD140000}"/>
    <cellStyle name="Input 2 2 7 2 3" xfId="8421" xr:uid="{00000000-0005-0000-0000-0000FE140000}"/>
    <cellStyle name="Input 2 2 7 2 4" xfId="9746" xr:uid="{00000000-0005-0000-0000-0000FF140000}"/>
    <cellStyle name="Input 2 2 7 3" xfId="4941" xr:uid="{00000000-0005-0000-0000-000000150000}"/>
    <cellStyle name="Input 2 2 7 4" xfId="7935" xr:uid="{00000000-0005-0000-0000-000001150000}"/>
    <cellStyle name="Input 2 2 7 5" xfId="10827" xr:uid="{00000000-0005-0000-0000-000002150000}"/>
    <cellStyle name="Input 2 2 8" xfId="2243" xr:uid="{00000000-0005-0000-0000-000003150000}"/>
    <cellStyle name="Input 2 2 8 2" xfId="3700" xr:uid="{00000000-0005-0000-0000-000004150000}"/>
    <cellStyle name="Input 2 2 8 2 2" xfId="7270" xr:uid="{00000000-0005-0000-0000-000005150000}"/>
    <cellStyle name="Input 2 2 8 2 3" xfId="9235" xr:uid="{00000000-0005-0000-0000-000006150000}"/>
    <cellStyle name="Input 2 2 8 2 4" xfId="10527" xr:uid="{00000000-0005-0000-0000-000007150000}"/>
    <cellStyle name="Input 2 2 8 3" xfId="5831" xr:uid="{00000000-0005-0000-0000-000008150000}"/>
    <cellStyle name="Input 2 2 8 4" xfId="4537" xr:uid="{00000000-0005-0000-0000-000009150000}"/>
    <cellStyle name="Input 2 2 8 5" xfId="11609" xr:uid="{00000000-0005-0000-0000-00000A150000}"/>
    <cellStyle name="Input 2 2 9" xfId="2335" xr:uid="{00000000-0005-0000-0000-00000B150000}"/>
    <cellStyle name="Input 2 2 9 2" xfId="3791" xr:uid="{00000000-0005-0000-0000-00000C150000}"/>
    <cellStyle name="Input 2 2 9 2 2" xfId="7361" xr:uid="{00000000-0005-0000-0000-00000D150000}"/>
    <cellStyle name="Input 2 2 9 2 3" xfId="9324" xr:uid="{00000000-0005-0000-0000-00000E150000}"/>
    <cellStyle name="Input 2 2 9 2 4" xfId="10618" xr:uid="{00000000-0005-0000-0000-00000F150000}"/>
    <cellStyle name="Input 2 2 9 3" xfId="5923" xr:uid="{00000000-0005-0000-0000-000010150000}"/>
    <cellStyle name="Input 2 2 9 4" xfId="4809" xr:uid="{00000000-0005-0000-0000-000011150000}"/>
    <cellStyle name="Input 2 2 9 5" xfId="11700" xr:uid="{00000000-0005-0000-0000-000012150000}"/>
    <cellStyle name="Input 2 3" xfId="1283" xr:uid="{00000000-0005-0000-0000-000013150000}"/>
    <cellStyle name="Input 2 3 2" xfId="2783" xr:uid="{00000000-0005-0000-0000-000014150000}"/>
    <cellStyle name="Input 2 3 2 2" xfId="6362" xr:uid="{00000000-0005-0000-0000-000015150000}"/>
    <cellStyle name="Input 2 3 2 3" xfId="8370" xr:uid="{00000000-0005-0000-0000-000016150000}"/>
    <cellStyle name="Input 2 3 2 4" xfId="9695" xr:uid="{00000000-0005-0000-0000-000017150000}"/>
    <cellStyle name="Input 2 3 3" xfId="4881" xr:uid="{00000000-0005-0000-0000-000018150000}"/>
    <cellStyle name="Input 2 3 4" xfId="7633" xr:uid="{00000000-0005-0000-0000-000019150000}"/>
    <cellStyle name="Input 2 3 5" xfId="4253" xr:uid="{00000000-0005-0000-0000-00001A150000}"/>
    <cellStyle name="Input 2 4" xfId="1636" xr:uid="{00000000-0005-0000-0000-00001B150000}"/>
    <cellStyle name="Input 2 4 2" xfId="3117" xr:uid="{00000000-0005-0000-0000-00001C150000}"/>
    <cellStyle name="Input 2 4 2 2" xfId="6693" xr:uid="{00000000-0005-0000-0000-00001D150000}"/>
    <cellStyle name="Input 2 4 2 3" xfId="8680" xr:uid="{00000000-0005-0000-0000-00001E150000}"/>
    <cellStyle name="Input 2 4 2 4" xfId="9993" xr:uid="{00000000-0005-0000-0000-00001F150000}"/>
    <cellStyle name="Input 2 4 3" xfId="5230" xr:uid="{00000000-0005-0000-0000-000020150000}"/>
    <cellStyle name="Input 2 4 4" xfId="7747" xr:uid="{00000000-0005-0000-0000-000021150000}"/>
    <cellStyle name="Input 2 4 5" xfId="9412" xr:uid="{00000000-0005-0000-0000-000022150000}"/>
    <cellStyle name="Input 2 5" xfId="1920" xr:uid="{00000000-0005-0000-0000-000023150000}"/>
    <cellStyle name="Input 2 5 2" xfId="3384" xr:uid="{00000000-0005-0000-0000-000024150000}"/>
    <cellStyle name="Input 2 5 2 2" xfId="6954" xr:uid="{00000000-0005-0000-0000-000025150000}"/>
    <cellStyle name="Input 2 5 2 3" xfId="8920" xr:uid="{00000000-0005-0000-0000-000026150000}"/>
    <cellStyle name="Input 2 5 2 4" xfId="10211" xr:uid="{00000000-0005-0000-0000-000027150000}"/>
    <cellStyle name="Input 2 5 3" xfId="5508" xr:uid="{00000000-0005-0000-0000-000028150000}"/>
    <cellStyle name="Input 2 5 4" xfId="8073" xr:uid="{00000000-0005-0000-0000-000029150000}"/>
    <cellStyle name="Input 2 5 5" xfId="11289" xr:uid="{00000000-0005-0000-0000-00002A150000}"/>
    <cellStyle name="Input 2 6" xfId="2058" xr:uid="{00000000-0005-0000-0000-00002B150000}"/>
    <cellStyle name="Input 2 6 2" xfId="3518" xr:uid="{00000000-0005-0000-0000-00002C150000}"/>
    <cellStyle name="Input 2 6 2 2" xfId="7088" xr:uid="{00000000-0005-0000-0000-00002D150000}"/>
    <cellStyle name="Input 2 6 2 3" xfId="9054" xr:uid="{00000000-0005-0000-0000-00002E150000}"/>
    <cellStyle name="Input 2 6 2 4" xfId="10345" xr:uid="{00000000-0005-0000-0000-00002F150000}"/>
    <cellStyle name="Input 2 6 3" xfId="5646" xr:uid="{00000000-0005-0000-0000-000030150000}"/>
    <cellStyle name="Input 2 6 4" xfId="7743" xr:uid="{00000000-0005-0000-0000-000031150000}"/>
    <cellStyle name="Input 2 6 5" xfId="11425" xr:uid="{00000000-0005-0000-0000-000032150000}"/>
    <cellStyle name="Input 2 7" xfId="2547" xr:uid="{00000000-0005-0000-0000-000033150000}"/>
    <cellStyle name="Input 2 7 2" xfId="6135" xr:uid="{00000000-0005-0000-0000-000034150000}"/>
    <cellStyle name="Input 2 7 3" xfId="8164" xr:uid="{00000000-0005-0000-0000-000035150000}"/>
    <cellStyle name="Input 2 7 4" xfId="6687" xr:uid="{00000000-0005-0000-0000-000036150000}"/>
    <cellStyle name="Input 2 8" xfId="4022" xr:uid="{00000000-0005-0000-0000-000037150000}"/>
    <cellStyle name="Input 2 9" xfId="4663" xr:uid="{00000000-0005-0000-0000-000038150000}"/>
    <cellStyle name="Input 20" xfId="875" xr:uid="{00000000-0005-0000-0000-000039150000}"/>
    <cellStyle name="Input 20 2" xfId="1189" xr:uid="{00000000-0005-0000-0000-00003A150000}"/>
    <cellStyle name="Input 20 2 10" xfId="2445" xr:uid="{00000000-0005-0000-0000-00003B150000}"/>
    <cellStyle name="Input 20 2 10 2" xfId="3900" xr:uid="{00000000-0005-0000-0000-00003C150000}"/>
    <cellStyle name="Input 20 2 10 2 2" xfId="7470" xr:uid="{00000000-0005-0000-0000-00003D150000}"/>
    <cellStyle name="Input 20 2 10 2 3" xfId="9430" xr:uid="{00000000-0005-0000-0000-00003E150000}"/>
    <cellStyle name="Input 20 2 10 2 4" xfId="10727" xr:uid="{00000000-0005-0000-0000-00003F150000}"/>
    <cellStyle name="Input 20 2 10 3" xfId="6033" xr:uid="{00000000-0005-0000-0000-000040150000}"/>
    <cellStyle name="Input 20 2 10 4" xfId="7578" xr:uid="{00000000-0005-0000-0000-000041150000}"/>
    <cellStyle name="Input 20 2 10 5" xfId="11809" xr:uid="{00000000-0005-0000-0000-000042150000}"/>
    <cellStyle name="Input 20 2 11" xfId="2498" xr:uid="{00000000-0005-0000-0000-000043150000}"/>
    <cellStyle name="Input 20 2 11 2" xfId="3953" xr:uid="{00000000-0005-0000-0000-000044150000}"/>
    <cellStyle name="Input 20 2 11 2 2" xfId="7523" xr:uid="{00000000-0005-0000-0000-000045150000}"/>
    <cellStyle name="Input 20 2 11 2 3" xfId="9483" xr:uid="{00000000-0005-0000-0000-000046150000}"/>
    <cellStyle name="Input 20 2 11 2 4" xfId="10780" xr:uid="{00000000-0005-0000-0000-000047150000}"/>
    <cellStyle name="Input 20 2 11 3" xfId="6086" xr:uid="{00000000-0005-0000-0000-000048150000}"/>
    <cellStyle name="Input 20 2 11 4" xfId="4694" xr:uid="{00000000-0005-0000-0000-000049150000}"/>
    <cellStyle name="Input 20 2 11 5" xfId="11862" xr:uid="{00000000-0005-0000-0000-00004A150000}"/>
    <cellStyle name="Input 20 2 12" xfId="2704" xr:uid="{00000000-0005-0000-0000-00004B150000}"/>
    <cellStyle name="Input 20 2 12 2" xfId="6287" xr:uid="{00000000-0005-0000-0000-00004C150000}"/>
    <cellStyle name="Input 20 2 12 3" xfId="8301" xr:uid="{00000000-0005-0000-0000-00004D150000}"/>
    <cellStyle name="Input 20 2 12 4" xfId="9639" xr:uid="{00000000-0005-0000-0000-00004E150000}"/>
    <cellStyle name="Input 20 2 13" xfId="4788" xr:uid="{00000000-0005-0000-0000-00004F150000}"/>
    <cellStyle name="Input 20 2 14" xfId="4169" xr:uid="{00000000-0005-0000-0000-000050150000}"/>
    <cellStyle name="Input 20 2 15" xfId="7822" xr:uid="{00000000-0005-0000-0000-000051150000}"/>
    <cellStyle name="Input 20 2 2" xfId="1736" xr:uid="{00000000-0005-0000-0000-000052150000}"/>
    <cellStyle name="Input 20 2 2 2" xfId="3213" xr:uid="{00000000-0005-0000-0000-000053150000}"/>
    <cellStyle name="Input 20 2 2 2 2" xfId="6786" xr:uid="{00000000-0005-0000-0000-000054150000}"/>
    <cellStyle name="Input 20 2 2 2 3" xfId="8764" xr:uid="{00000000-0005-0000-0000-000055150000}"/>
    <cellStyle name="Input 20 2 2 2 4" xfId="10066" xr:uid="{00000000-0005-0000-0000-000056150000}"/>
    <cellStyle name="Input 20 2 2 3" xfId="5328" xr:uid="{00000000-0005-0000-0000-000057150000}"/>
    <cellStyle name="Input 20 2 2 4" xfId="4409" xr:uid="{00000000-0005-0000-0000-000058150000}"/>
    <cellStyle name="Input 20 2 2 5" xfId="11143" xr:uid="{00000000-0005-0000-0000-000059150000}"/>
    <cellStyle name="Input 20 2 3" xfId="1905" xr:uid="{00000000-0005-0000-0000-00005A150000}"/>
    <cellStyle name="Input 20 2 3 2" xfId="3369" xr:uid="{00000000-0005-0000-0000-00005B150000}"/>
    <cellStyle name="Input 20 2 3 2 2" xfId="6939" xr:uid="{00000000-0005-0000-0000-00005C150000}"/>
    <cellStyle name="Input 20 2 3 2 3" xfId="8905" xr:uid="{00000000-0005-0000-0000-00005D150000}"/>
    <cellStyle name="Input 20 2 3 2 4" xfId="10196" xr:uid="{00000000-0005-0000-0000-00005E150000}"/>
    <cellStyle name="Input 20 2 3 3" xfId="5493" xr:uid="{00000000-0005-0000-0000-00005F150000}"/>
    <cellStyle name="Input 20 2 3 4" xfId="7932" xr:uid="{00000000-0005-0000-0000-000060150000}"/>
    <cellStyle name="Input 20 2 3 5" xfId="11274" xr:uid="{00000000-0005-0000-0000-000061150000}"/>
    <cellStyle name="Input 20 2 4" xfId="1977" xr:uid="{00000000-0005-0000-0000-000062150000}"/>
    <cellStyle name="Input 20 2 4 2" xfId="3440" xr:uid="{00000000-0005-0000-0000-000063150000}"/>
    <cellStyle name="Input 20 2 4 2 2" xfId="7010" xr:uid="{00000000-0005-0000-0000-000064150000}"/>
    <cellStyle name="Input 20 2 4 2 3" xfId="8976" xr:uid="{00000000-0005-0000-0000-000065150000}"/>
    <cellStyle name="Input 20 2 4 2 4" xfId="10267" xr:uid="{00000000-0005-0000-0000-000066150000}"/>
    <cellStyle name="Input 20 2 4 3" xfId="5565" xr:uid="{00000000-0005-0000-0000-000067150000}"/>
    <cellStyle name="Input 20 2 4 4" xfId="7715" xr:uid="{00000000-0005-0000-0000-000068150000}"/>
    <cellStyle name="Input 20 2 4 5" xfId="11345" xr:uid="{00000000-0005-0000-0000-000069150000}"/>
    <cellStyle name="Input 20 2 5" xfId="2043" xr:uid="{00000000-0005-0000-0000-00006A150000}"/>
    <cellStyle name="Input 20 2 5 2" xfId="3504" xr:uid="{00000000-0005-0000-0000-00006B150000}"/>
    <cellStyle name="Input 20 2 5 2 2" xfId="7074" xr:uid="{00000000-0005-0000-0000-00006C150000}"/>
    <cellStyle name="Input 20 2 5 2 3" xfId="9040" xr:uid="{00000000-0005-0000-0000-00006D150000}"/>
    <cellStyle name="Input 20 2 5 2 4" xfId="10331" xr:uid="{00000000-0005-0000-0000-00006E150000}"/>
    <cellStyle name="Input 20 2 5 3" xfId="5631" xr:uid="{00000000-0005-0000-0000-00006F150000}"/>
    <cellStyle name="Input 20 2 5 4" xfId="7883" xr:uid="{00000000-0005-0000-0000-000070150000}"/>
    <cellStyle name="Input 20 2 5 5" xfId="11410" xr:uid="{00000000-0005-0000-0000-000071150000}"/>
    <cellStyle name="Input 20 2 6" xfId="2107" xr:uid="{00000000-0005-0000-0000-000072150000}"/>
    <cellStyle name="Input 20 2 6 2" xfId="3566" xr:uid="{00000000-0005-0000-0000-000073150000}"/>
    <cellStyle name="Input 20 2 6 2 2" xfId="7136" xr:uid="{00000000-0005-0000-0000-000074150000}"/>
    <cellStyle name="Input 20 2 6 2 3" xfId="9101" xr:uid="{00000000-0005-0000-0000-000075150000}"/>
    <cellStyle name="Input 20 2 6 2 4" xfId="10393" xr:uid="{00000000-0005-0000-0000-000076150000}"/>
    <cellStyle name="Input 20 2 6 3" xfId="5695" xr:uid="{00000000-0005-0000-0000-000077150000}"/>
    <cellStyle name="Input 20 2 6 4" xfId="4100" xr:uid="{00000000-0005-0000-0000-000078150000}"/>
    <cellStyle name="Input 20 2 6 5" xfId="11473" xr:uid="{00000000-0005-0000-0000-000079150000}"/>
    <cellStyle name="Input 20 2 7" xfId="2180" xr:uid="{00000000-0005-0000-0000-00007A150000}"/>
    <cellStyle name="Input 20 2 7 2" xfId="3639" xr:uid="{00000000-0005-0000-0000-00007B150000}"/>
    <cellStyle name="Input 20 2 7 2 2" xfId="7209" xr:uid="{00000000-0005-0000-0000-00007C150000}"/>
    <cellStyle name="Input 20 2 7 2 3" xfId="9174" xr:uid="{00000000-0005-0000-0000-00007D150000}"/>
    <cellStyle name="Input 20 2 7 2 4" xfId="10466" xr:uid="{00000000-0005-0000-0000-00007E150000}"/>
    <cellStyle name="Input 20 2 7 3" xfId="5768" xr:uid="{00000000-0005-0000-0000-00007F150000}"/>
    <cellStyle name="Input 20 2 7 4" xfId="5467" xr:uid="{00000000-0005-0000-0000-000080150000}"/>
    <cellStyle name="Input 20 2 7 5" xfId="11546" xr:uid="{00000000-0005-0000-0000-000081150000}"/>
    <cellStyle name="Input 20 2 8" xfId="2284" xr:uid="{00000000-0005-0000-0000-000082150000}"/>
    <cellStyle name="Input 20 2 8 2" xfId="3741" xr:uid="{00000000-0005-0000-0000-000083150000}"/>
    <cellStyle name="Input 20 2 8 2 2" xfId="7311" xr:uid="{00000000-0005-0000-0000-000084150000}"/>
    <cellStyle name="Input 20 2 8 2 3" xfId="9274" xr:uid="{00000000-0005-0000-0000-000085150000}"/>
    <cellStyle name="Input 20 2 8 2 4" xfId="10568" xr:uid="{00000000-0005-0000-0000-000086150000}"/>
    <cellStyle name="Input 20 2 8 3" xfId="5872" xr:uid="{00000000-0005-0000-0000-000087150000}"/>
    <cellStyle name="Input 20 2 8 4" xfId="4870" xr:uid="{00000000-0005-0000-0000-000088150000}"/>
    <cellStyle name="Input 20 2 8 5" xfId="11649" xr:uid="{00000000-0005-0000-0000-000089150000}"/>
    <cellStyle name="Input 20 2 9" xfId="2376" xr:uid="{00000000-0005-0000-0000-00008A150000}"/>
    <cellStyle name="Input 20 2 9 2" xfId="3832" xr:uid="{00000000-0005-0000-0000-00008B150000}"/>
    <cellStyle name="Input 20 2 9 2 2" xfId="7402" xr:uid="{00000000-0005-0000-0000-00008C150000}"/>
    <cellStyle name="Input 20 2 9 2 3" xfId="9364" xr:uid="{00000000-0005-0000-0000-00008D150000}"/>
    <cellStyle name="Input 20 2 9 2 4" xfId="10659" xr:uid="{00000000-0005-0000-0000-00008E150000}"/>
    <cellStyle name="Input 20 2 9 3" xfId="5964" xr:uid="{00000000-0005-0000-0000-00008F150000}"/>
    <cellStyle name="Input 20 2 9 4" xfId="4699" xr:uid="{00000000-0005-0000-0000-000090150000}"/>
    <cellStyle name="Input 20 2 9 5" xfId="11740" xr:uid="{00000000-0005-0000-0000-000091150000}"/>
    <cellStyle name="Input 20 3" xfId="1523" xr:uid="{00000000-0005-0000-0000-000092150000}"/>
    <cellStyle name="Input 20 3 2" xfId="3007" xr:uid="{00000000-0005-0000-0000-000093150000}"/>
    <cellStyle name="Input 20 3 2 2" xfId="6584" xr:uid="{00000000-0005-0000-0000-000094150000}"/>
    <cellStyle name="Input 20 3 2 3" xfId="8585" xr:uid="{00000000-0005-0000-0000-000095150000}"/>
    <cellStyle name="Input 20 3 2 4" xfId="9908" xr:uid="{00000000-0005-0000-0000-000096150000}"/>
    <cellStyle name="Input 20 3 3" xfId="5120" xr:uid="{00000000-0005-0000-0000-000097150000}"/>
    <cellStyle name="Input 20 3 4" xfId="4070" xr:uid="{00000000-0005-0000-0000-000098150000}"/>
    <cellStyle name="Input 20 3 5" xfId="10990" xr:uid="{00000000-0005-0000-0000-000099150000}"/>
    <cellStyle name="Input 20 4" xfId="1392" xr:uid="{00000000-0005-0000-0000-00009A150000}"/>
    <cellStyle name="Input 20 4 2" xfId="2888" xr:uid="{00000000-0005-0000-0000-00009B150000}"/>
    <cellStyle name="Input 20 4 2 2" xfId="6467" xr:uid="{00000000-0005-0000-0000-00009C150000}"/>
    <cellStyle name="Input 20 4 2 3" xfId="8468" xr:uid="{00000000-0005-0000-0000-00009D150000}"/>
    <cellStyle name="Input 20 4 2 4" xfId="9793" xr:uid="{00000000-0005-0000-0000-00009E150000}"/>
    <cellStyle name="Input 20 4 3" xfId="4990" xr:uid="{00000000-0005-0000-0000-00009F150000}"/>
    <cellStyle name="Input 20 4 4" xfId="4334" xr:uid="{00000000-0005-0000-0000-0000A0150000}"/>
    <cellStyle name="Input 20 4 5" xfId="10875" xr:uid="{00000000-0005-0000-0000-0000A1150000}"/>
    <cellStyle name="Input 20 5" xfId="1442" xr:uid="{00000000-0005-0000-0000-0000A2150000}"/>
    <cellStyle name="Input 20 5 2" xfId="2929" xr:uid="{00000000-0005-0000-0000-0000A3150000}"/>
    <cellStyle name="Input 20 5 2 2" xfId="6507" xr:uid="{00000000-0005-0000-0000-0000A4150000}"/>
    <cellStyle name="Input 20 5 2 3" xfId="8509" xr:uid="{00000000-0005-0000-0000-0000A5150000}"/>
    <cellStyle name="Input 20 5 2 4" xfId="9832" xr:uid="{00000000-0005-0000-0000-0000A6150000}"/>
    <cellStyle name="Input 20 5 3" xfId="5040" xr:uid="{00000000-0005-0000-0000-0000A7150000}"/>
    <cellStyle name="Input 20 5 4" xfId="7654" xr:uid="{00000000-0005-0000-0000-0000A8150000}"/>
    <cellStyle name="Input 20 5 5" xfId="10913" xr:uid="{00000000-0005-0000-0000-0000A9150000}"/>
    <cellStyle name="Input 20 6" xfId="2585" xr:uid="{00000000-0005-0000-0000-0000AA150000}"/>
    <cellStyle name="Input 20 6 2" xfId="6173" xr:uid="{00000000-0005-0000-0000-0000AB150000}"/>
    <cellStyle name="Input 20 6 3" xfId="8199" xr:uid="{00000000-0005-0000-0000-0000AC150000}"/>
    <cellStyle name="Input 20 6 4" xfId="9550" xr:uid="{00000000-0005-0000-0000-0000AD150000}"/>
    <cellStyle name="Input 20 7" xfId="4489" xr:uid="{00000000-0005-0000-0000-0000AE150000}"/>
    <cellStyle name="Input 20 8" xfId="4323" xr:uid="{00000000-0005-0000-0000-0000AF150000}"/>
    <cellStyle name="Input 20 9" xfId="4291" xr:uid="{00000000-0005-0000-0000-0000B0150000}"/>
    <cellStyle name="Input 21" xfId="876" xr:uid="{00000000-0005-0000-0000-0000B1150000}"/>
    <cellStyle name="Input 21 2" xfId="1190" xr:uid="{00000000-0005-0000-0000-0000B2150000}"/>
    <cellStyle name="Input 21 2 10" xfId="2446" xr:uid="{00000000-0005-0000-0000-0000B3150000}"/>
    <cellStyle name="Input 21 2 10 2" xfId="3901" xr:uid="{00000000-0005-0000-0000-0000B4150000}"/>
    <cellStyle name="Input 21 2 10 2 2" xfId="7471" xr:uid="{00000000-0005-0000-0000-0000B5150000}"/>
    <cellStyle name="Input 21 2 10 2 3" xfId="9431" xr:uid="{00000000-0005-0000-0000-0000B6150000}"/>
    <cellStyle name="Input 21 2 10 2 4" xfId="10728" xr:uid="{00000000-0005-0000-0000-0000B7150000}"/>
    <cellStyle name="Input 21 2 10 3" xfId="6034" xr:uid="{00000000-0005-0000-0000-0000B8150000}"/>
    <cellStyle name="Input 21 2 10 4" xfId="7581" xr:uid="{00000000-0005-0000-0000-0000B9150000}"/>
    <cellStyle name="Input 21 2 10 5" xfId="11810" xr:uid="{00000000-0005-0000-0000-0000BA150000}"/>
    <cellStyle name="Input 21 2 11" xfId="2499" xr:uid="{00000000-0005-0000-0000-0000BB150000}"/>
    <cellStyle name="Input 21 2 11 2" xfId="3954" xr:uid="{00000000-0005-0000-0000-0000BC150000}"/>
    <cellStyle name="Input 21 2 11 2 2" xfId="7524" xr:uid="{00000000-0005-0000-0000-0000BD150000}"/>
    <cellStyle name="Input 21 2 11 2 3" xfId="9484" xr:uid="{00000000-0005-0000-0000-0000BE150000}"/>
    <cellStyle name="Input 21 2 11 2 4" xfId="10781" xr:uid="{00000000-0005-0000-0000-0000BF150000}"/>
    <cellStyle name="Input 21 2 11 3" xfId="6087" xr:uid="{00000000-0005-0000-0000-0000C0150000}"/>
    <cellStyle name="Input 21 2 11 4" xfId="4635" xr:uid="{00000000-0005-0000-0000-0000C1150000}"/>
    <cellStyle name="Input 21 2 11 5" xfId="11863" xr:uid="{00000000-0005-0000-0000-0000C2150000}"/>
    <cellStyle name="Input 21 2 12" xfId="2705" xr:uid="{00000000-0005-0000-0000-0000C3150000}"/>
    <cellStyle name="Input 21 2 12 2" xfId="6288" xr:uid="{00000000-0005-0000-0000-0000C4150000}"/>
    <cellStyle name="Input 21 2 12 3" xfId="8302" xr:uid="{00000000-0005-0000-0000-0000C5150000}"/>
    <cellStyle name="Input 21 2 12 4" xfId="9640" xr:uid="{00000000-0005-0000-0000-0000C6150000}"/>
    <cellStyle name="Input 21 2 13" xfId="4789" xr:uid="{00000000-0005-0000-0000-0000C7150000}"/>
    <cellStyle name="Input 21 2 14" xfId="4168" xr:uid="{00000000-0005-0000-0000-0000C8150000}"/>
    <cellStyle name="Input 21 2 15" xfId="8143" xr:uid="{00000000-0005-0000-0000-0000C9150000}"/>
    <cellStyle name="Input 21 2 2" xfId="1737" xr:uid="{00000000-0005-0000-0000-0000CA150000}"/>
    <cellStyle name="Input 21 2 2 2" xfId="3214" xr:uid="{00000000-0005-0000-0000-0000CB150000}"/>
    <cellStyle name="Input 21 2 2 2 2" xfId="6787" xr:uid="{00000000-0005-0000-0000-0000CC150000}"/>
    <cellStyle name="Input 21 2 2 2 3" xfId="8765" xr:uid="{00000000-0005-0000-0000-0000CD150000}"/>
    <cellStyle name="Input 21 2 2 2 4" xfId="10067" xr:uid="{00000000-0005-0000-0000-0000CE150000}"/>
    <cellStyle name="Input 21 2 2 3" xfId="5329" xr:uid="{00000000-0005-0000-0000-0000CF150000}"/>
    <cellStyle name="Input 21 2 2 4" xfId="4410" xr:uid="{00000000-0005-0000-0000-0000D0150000}"/>
    <cellStyle name="Input 21 2 2 5" xfId="11144" xr:uid="{00000000-0005-0000-0000-0000D1150000}"/>
    <cellStyle name="Input 21 2 3" xfId="1906" xr:uid="{00000000-0005-0000-0000-0000D2150000}"/>
    <cellStyle name="Input 21 2 3 2" xfId="3370" xr:uid="{00000000-0005-0000-0000-0000D3150000}"/>
    <cellStyle name="Input 21 2 3 2 2" xfId="6940" xr:uid="{00000000-0005-0000-0000-0000D4150000}"/>
    <cellStyle name="Input 21 2 3 2 3" xfId="8906" xr:uid="{00000000-0005-0000-0000-0000D5150000}"/>
    <cellStyle name="Input 21 2 3 2 4" xfId="10197" xr:uid="{00000000-0005-0000-0000-0000D6150000}"/>
    <cellStyle name="Input 21 2 3 3" xfId="5494" xr:uid="{00000000-0005-0000-0000-0000D7150000}"/>
    <cellStyle name="Input 21 2 3 4" xfId="7628" xr:uid="{00000000-0005-0000-0000-0000D8150000}"/>
    <cellStyle name="Input 21 2 3 5" xfId="11275" xr:uid="{00000000-0005-0000-0000-0000D9150000}"/>
    <cellStyle name="Input 21 2 4" xfId="1978" xr:uid="{00000000-0005-0000-0000-0000DA150000}"/>
    <cellStyle name="Input 21 2 4 2" xfId="3441" xr:uid="{00000000-0005-0000-0000-0000DB150000}"/>
    <cellStyle name="Input 21 2 4 2 2" xfId="7011" xr:uid="{00000000-0005-0000-0000-0000DC150000}"/>
    <cellStyle name="Input 21 2 4 2 3" xfId="8977" xr:uid="{00000000-0005-0000-0000-0000DD150000}"/>
    <cellStyle name="Input 21 2 4 2 4" xfId="10268" xr:uid="{00000000-0005-0000-0000-0000DE150000}"/>
    <cellStyle name="Input 21 2 4 3" xfId="5566" xr:uid="{00000000-0005-0000-0000-0000DF150000}"/>
    <cellStyle name="Input 21 2 4 4" xfId="7872" xr:uid="{00000000-0005-0000-0000-0000E0150000}"/>
    <cellStyle name="Input 21 2 4 5" xfId="11346" xr:uid="{00000000-0005-0000-0000-0000E1150000}"/>
    <cellStyle name="Input 21 2 5" xfId="2044" xr:uid="{00000000-0005-0000-0000-0000E2150000}"/>
    <cellStyle name="Input 21 2 5 2" xfId="3505" xr:uid="{00000000-0005-0000-0000-0000E3150000}"/>
    <cellStyle name="Input 21 2 5 2 2" xfId="7075" xr:uid="{00000000-0005-0000-0000-0000E4150000}"/>
    <cellStyle name="Input 21 2 5 2 3" xfId="9041" xr:uid="{00000000-0005-0000-0000-0000E5150000}"/>
    <cellStyle name="Input 21 2 5 2 4" xfId="10332" xr:uid="{00000000-0005-0000-0000-0000E6150000}"/>
    <cellStyle name="Input 21 2 5 3" xfId="5632" xr:uid="{00000000-0005-0000-0000-0000E7150000}"/>
    <cellStyle name="Input 21 2 5 4" xfId="7786" xr:uid="{00000000-0005-0000-0000-0000E8150000}"/>
    <cellStyle name="Input 21 2 5 5" xfId="11411" xr:uid="{00000000-0005-0000-0000-0000E9150000}"/>
    <cellStyle name="Input 21 2 6" xfId="2108" xr:uid="{00000000-0005-0000-0000-0000EA150000}"/>
    <cellStyle name="Input 21 2 6 2" xfId="3567" xr:uid="{00000000-0005-0000-0000-0000EB150000}"/>
    <cellStyle name="Input 21 2 6 2 2" xfId="7137" xr:uid="{00000000-0005-0000-0000-0000EC150000}"/>
    <cellStyle name="Input 21 2 6 2 3" xfId="9102" xr:uid="{00000000-0005-0000-0000-0000ED150000}"/>
    <cellStyle name="Input 21 2 6 2 4" xfId="10394" xr:uid="{00000000-0005-0000-0000-0000EE150000}"/>
    <cellStyle name="Input 21 2 6 3" xfId="5696" xr:uid="{00000000-0005-0000-0000-0000EF150000}"/>
    <cellStyle name="Input 21 2 6 4" xfId="7878" xr:uid="{00000000-0005-0000-0000-0000F0150000}"/>
    <cellStyle name="Input 21 2 6 5" xfId="11474" xr:uid="{00000000-0005-0000-0000-0000F1150000}"/>
    <cellStyle name="Input 21 2 7" xfId="2181" xr:uid="{00000000-0005-0000-0000-0000F2150000}"/>
    <cellStyle name="Input 21 2 7 2" xfId="3640" xr:uid="{00000000-0005-0000-0000-0000F3150000}"/>
    <cellStyle name="Input 21 2 7 2 2" xfId="7210" xr:uid="{00000000-0005-0000-0000-0000F4150000}"/>
    <cellStyle name="Input 21 2 7 2 3" xfId="9175" xr:uid="{00000000-0005-0000-0000-0000F5150000}"/>
    <cellStyle name="Input 21 2 7 2 4" xfId="10467" xr:uid="{00000000-0005-0000-0000-0000F6150000}"/>
    <cellStyle name="Input 21 2 7 3" xfId="5769" xr:uid="{00000000-0005-0000-0000-0000F7150000}"/>
    <cellStyle name="Input 21 2 7 4" xfId="4510" xr:uid="{00000000-0005-0000-0000-0000F8150000}"/>
    <cellStyle name="Input 21 2 7 5" xfId="11547" xr:uid="{00000000-0005-0000-0000-0000F9150000}"/>
    <cellStyle name="Input 21 2 8" xfId="2285" xr:uid="{00000000-0005-0000-0000-0000FA150000}"/>
    <cellStyle name="Input 21 2 8 2" xfId="3742" xr:uid="{00000000-0005-0000-0000-0000FB150000}"/>
    <cellStyle name="Input 21 2 8 2 2" xfId="7312" xr:uid="{00000000-0005-0000-0000-0000FC150000}"/>
    <cellStyle name="Input 21 2 8 2 3" xfId="9275" xr:uid="{00000000-0005-0000-0000-0000FD150000}"/>
    <cellStyle name="Input 21 2 8 2 4" xfId="10569" xr:uid="{00000000-0005-0000-0000-0000FE150000}"/>
    <cellStyle name="Input 21 2 8 3" xfId="5873" xr:uid="{00000000-0005-0000-0000-0000FF150000}"/>
    <cellStyle name="Input 21 2 8 4" xfId="6352" xr:uid="{00000000-0005-0000-0000-000000160000}"/>
    <cellStyle name="Input 21 2 8 5" xfId="11650" xr:uid="{00000000-0005-0000-0000-000001160000}"/>
    <cellStyle name="Input 21 2 9" xfId="2377" xr:uid="{00000000-0005-0000-0000-000002160000}"/>
    <cellStyle name="Input 21 2 9 2" xfId="3833" xr:uid="{00000000-0005-0000-0000-000003160000}"/>
    <cellStyle name="Input 21 2 9 2 2" xfId="7403" xr:uid="{00000000-0005-0000-0000-000004160000}"/>
    <cellStyle name="Input 21 2 9 2 3" xfId="9365" xr:uid="{00000000-0005-0000-0000-000005160000}"/>
    <cellStyle name="Input 21 2 9 2 4" xfId="10660" xr:uid="{00000000-0005-0000-0000-000006160000}"/>
    <cellStyle name="Input 21 2 9 3" xfId="5965" xr:uid="{00000000-0005-0000-0000-000007160000}"/>
    <cellStyle name="Input 21 2 9 4" xfId="4856" xr:uid="{00000000-0005-0000-0000-000008160000}"/>
    <cellStyle name="Input 21 2 9 5" xfId="11741" xr:uid="{00000000-0005-0000-0000-000009160000}"/>
    <cellStyle name="Input 21 3" xfId="1524" xr:uid="{00000000-0005-0000-0000-00000A160000}"/>
    <cellStyle name="Input 21 3 2" xfId="3008" xr:uid="{00000000-0005-0000-0000-00000B160000}"/>
    <cellStyle name="Input 21 3 2 2" xfId="6585" xr:uid="{00000000-0005-0000-0000-00000C160000}"/>
    <cellStyle name="Input 21 3 2 3" xfId="8586" xr:uid="{00000000-0005-0000-0000-00000D160000}"/>
    <cellStyle name="Input 21 3 2 4" xfId="9909" xr:uid="{00000000-0005-0000-0000-00000E160000}"/>
    <cellStyle name="Input 21 3 3" xfId="5121" xr:uid="{00000000-0005-0000-0000-00000F160000}"/>
    <cellStyle name="Input 21 3 4" xfId="8613" xr:uid="{00000000-0005-0000-0000-000010160000}"/>
    <cellStyle name="Input 21 3 5" xfId="10991" xr:uid="{00000000-0005-0000-0000-000011160000}"/>
    <cellStyle name="Input 21 4" xfId="1391" xr:uid="{00000000-0005-0000-0000-000012160000}"/>
    <cellStyle name="Input 21 4 2" xfId="2887" xr:uid="{00000000-0005-0000-0000-000013160000}"/>
    <cellStyle name="Input 21 4 2 2" xfId="6466" xr:uid="{00000000-0005-0000-0000-000014160000}"/>
    <cellStyle name="Input 21 4 2 3" xfId="8467" xr:uid="{00000000-0005-0000-0000-000015160000}"/>
    <cellStyle name="Input 21 4 2 4" xfId="9792" xr:uid="{00000000-0005-0000-0000-000016160000}"/>
    <cellStyle name="Input 21 4 3" xfId="4989" xr:uid="{00000000-0005-0000-0000-000017160000}"/>
    <cellStyle name="Input 21 4 4" xfId="4664" xr:uid="{00000000-0005-0000-0000-000018160000}"/>
    <cellStyle name="Input 21 4 5" xfId="10874" xr:uid="{00000000-0005-0000-0000-000019160000}"/>
    <cellStyle name="Input 21 5" xfId="1443" xr:uid="{00000000-0005-0000-0000-00001A160000}"/>
    <cellStyle name="Input 21 5 2" xfId="2930" xr:uid="{00000000-0005-0000-0000-00001B160000}"/>
    <cellStyle name="Input 21 5 2 2" xfId="6508" xr:uid="{00000000-0005-0000-0000-00001C160000}"/>
    <cellStyle name="Input 21 5 2 3" xfId="8510" xr:uid="{00000000-0005-0000-0000-00001D160000}"/>
    <cellStyle name="Input 21 5 2 4" xfId="9833" xr:uid="{00000000-0005-0000-0000-00001E160000}"/>
    <cellStyle name="Input 21 5 3" xfId="5041" xr:uid="{00000000-0005-0000-0000-00001F160000}"/>
    <cellStyle name="Input 21 5 4" xfId="9352" xr:uid="{00000000-0005-0000-0000-000020160000}"/>
    <cellStyle name="Input 21 5 5" xfId="10914" xr:uid="{00000000-0005-0000-0000-000021160000}"/>
    <cellStyle name="Input 21 6" xfId="2586" xr:uid="{00000000-0005-0000-0000-000022160000}"/>
    <cellStyle name="Input 21 6 2" xfId="6174" xr:uid="{00000000-0005-0000-0000-000023160000}"/>
    <cellStyle name="Input 21 6 3" xfId="8200" xr:uid="{00000000-0005-0000-0000-000024160000}"/>
    <cellStyle name="Input 21 6 4" xfId="9551" xr:uid="{00000000-0005-0000-0000-000025160000}"/>
    <cellStyle name="Input 21 7" xfId="4490" xr:uid="{00000000-0005-0000-0000-000026160000}"/>
    <cellStyle name="Input 21 8" xfId="4757" xr:uid="{00000000-0005-0000-0000-000027160000}"/>
    <cellStyle name="Input 21 9" xfId="4155" xr:uid="{00000000-0005-0000-0000-000028160000}"/>
    <cellStyle name="Input 22" xfId="877" xr:uid="{00000000-0005-0000-0000-000029160000}"/>
    <cellStyle name="Input 22 2" xfId="1191" xr:uid="{00000000-0005-0000-0000-00002A160000}"/>
    <cellStyle name="Input 22 2 10" xfId="2447" xr:uid="{00000000-0005-0000-0000-00002B160000}"/>
    <cellStyle name="Input 22 2 10 2" xfId="3902" xr:uid="{00000000-0005-0000-0000-00002C160000}"/>
    <cellStyle name="Input 22 2 10 2 2" xfId="7472" xr:uid="{00000000-0005-0000-0000-00002D160000}"/>
    <cellStyle name="Input 22 2 10 2 3" xfId="9432" xr:uid="{00000000-0005-0000-0000-00002E160000}"/>
    <cellStyle name="Input 22 2 10 2 4" xfId="10729" xr:uid="{00000000-0005-0000-0000-00002F160000}"/>
    <cellStyle name="Input 22 2 10 3" xfId="6035" xr:uid="{00000000-0005-0000-0000-000030160000}"/>
    <cellStyle name="Input 22 2 10 4" xfId="7582" xr:uid="{00000000-0005-0000-0000-000031160000}"/>
    <cellStyle name="Input 22 2 10 5" xfId="11811" xr:uid="{00000000-0005-0000-0000-000032160000}"/>
    <cellStyle name="Input 22 2 11" xfId="2500" xr:uid="{00000000-0005-0000-0000-000033160000}"/>
    <cellStyle name="Input 22 2 11 2" xfId="3955" xr:uid="{00000000-0005-0000-0000-000034160000}"/>
    <cellStyle name="Input 22 2 11 2 2" xfId="7525" xr:uid="{00000000-0005-0000-0000-000035160000}"/>
    <cellStyle name="Input 22 2 11 2 3" xfId="9485" xr:uid="{00000000-0005-0000-0000-000036160000}"/>
    <cellStyle name="Input 22 2 11 2 4" xfId="10782" xr:uid="{00000000-0005-0000-0000-000037160000}"/>
    <cellStyle name="Input 22 2 11 3" xfId="6088" xr:uid="{00000000-0005-0000-0000-000038160000}"/>
    <cellStyle name="Input 22 2 11 4" xfId="4636" xr:uid="{00000000-0005-0000-0000-000039160000}"/>
    <cellStyle name="Input 22 2 11 5" xfId="11864" xr:uid="{00000000-0005-0000-0000-00003A160000}"/>
    <cellStyle name="Input 22 2 12" xfId="2706" xr:uid="{00000000-0005-0000-0000-00003B160000}"/>
    <cellStyle name="Input 22 2 12 2" xfId="6289" xr:uid="{00000000-0005-0000-0000-00003C160000}"/>
    <cellStyle name="Input 22 2 12 3" xfId="8303" xr:uid="{00000000-0005-0000-0000-00003D160000}"/>
    <cellStyle name="Input 22 2 12 4" xfId="9641" xr:uid="{00000000-0005-0000-0000-00003E160000}"/>
    <cellStyle name="Input 22 2 13" xfId="4790" xr:uid="{00000000-0005-0000-0000-00003F160000}"/>
    <cellStyle name="Input 22 2 14" xfId="4167" xr:uid="{00000000-0005-0000-0000-000040160000}"/>
    <cellStyle name="Input 22 2 15" xfId="8116" xr:uid="{00000000-0005-0000-0000-000041160000}"/>
    <cellStyle name="Input 22 2 2" xfId="1738" xr:uid="{00000000-0005-0000-0000-000042160000}"/>
    <cellStyle name="Input 22 2 2 2" xfId="3215" xr:uid="{00000000-0005-0000-0000-000043160000}"/>
    <cellStyle name="Input 22 2 2 2 2" xfId="6788" xr:uid="{00000000-0005-0000-0000-000044160000}"/>
    <cellStyle name="Input 22 2 2 2 3" xfId="8766" xr:uid="{00000000-0005-0000-0000-000045160000}"/>
    <cellStyle name="Input 22 2 2 2 4" xfId="10068" xr:uid="{00000000-0005-0000-0000-000046160000}"/>
    <cellStyle name="Input 22 2 2 3" xfId="5330" xr:uid="{00000000-0005-0000-0000-000047160000}"/>
    <cellStyle name="Input 22 2 2 4" xfId="5416" xr:uid="{00000000-0005-0000-0000-000048160000}"/>
    <cellStyle name="Input 22 2 2 5" xfId="11145" xr:uid="{00000000-0005-0000-0000-000049160000}"/>
    <cellStyle name="Input 22 2 3" xfId="1907" xr:uid="{00000000-0005-0000-0000-00004A160000}"/>
    <cellStyle name="Input 22 2 3 2" xfId="3371" xr:uid="{00000000-0005-0000-0000-00004B160000}"/>
    <cellStyle name="Input 22 2 3 2 2" xfId="6941" xr:uid="{00000000-0005-0000-0000-00004C160000}"/>
    <cellStyle name="Input 22 2 3 2 3" xfId="8907" xr:uid="{00000000-0005-0000-0000-00004D160000}"/>
    <cellStyle name="Input 22 2 3 2 4" xfId="10198" xr:uid="{00000000-0005-0000-0000-00004E160000}"/>
    <cellStyle name="Input 22 2 3 3" xfId="5495" xr:uid="{00000000-0005-0000-0000-00004F160000}"/>
    <cellStyle name="Input 22 2 3 4" xfId="8074" xr:uid="{00000000-0005-0000-0000-000050160000}"/>
    <cellStyle name="Input 22 2 3 5" xfId="11276" xr:uid="{00000000-0005-0000-0000-000051160000}"/>
    <cellStyle name="Input 22 2 4" xfId="1979" xr:uid="{00000000-0005-0000-0000-000052160000}"/>
    <cellStyle name="Input 22 2 4 2" xfId="3442" xr:uid="{00000000-0005-0000-0000-000053160000}"/>
    <cellStyle name="Input 22 2 4 2 2" xfId="7012" xr:uid="{00000000-0005-0000-0000-000054160000}"/>
    <cellStyle name="Input 22 2 4 2 3" xfId="8978" xr:uid="{00000000-0005-0000-0000-000055160000}"/>
    <cellStyle name="Input 22 2 4 2 4" xfId="10269" xr:uid="{00000000-0005-0000-0000-000056160000}"/>
    <cellStyle name="Input 22 2 4 3" xfId="5567" xr:uid="{00000000-0005-0000-0000-000057160000}"/>
    <cellStyle name="Input 22 2 4 4" xfId="7775" xr:uid="{00000000-0005-0000-0000-000058160000}"/>
    <cellStyle name="Input 22 2 4 5" xfId="11347" xr:uid="{00000000-0005-0000-0000-000059160000}"/>
    <cellStyle name="Input 22 2 5" xfId="2045" xr:uid="{00000000-0005-0000-0000-00005A160000}"/>
    <cellStyle name="Input 22 2 5 2" xfId="3506" xr:uid="{00000000-0005-0000-0000-00005B160000}"/>
    <cellStyle name="Input 22 2 5 2 2" xfId="7076" xr:uid="{00000000-0005-0000-0000-00005C160000}"/>
    <cellStyle name="Input 22 2 5 2 3" xfId="9042" xr:uid="{00000000-0005-0000-0000-00005D160000}"/>
    <cellStyle name="Input 22 2 5 2 4" xfId="10333" xr:uid="{00000000-0005-0000-0000-00005E160000}"/>
    <cellStyle name="Input 22 2 5 3" xfId="5633" xr:uid="{00000000-0005-0000-0000-00005F160000}"/>
    <cellStyle name="Input 22 2 5 4" xfId="7587" xr:uid="{00000000-0005-0000-0000-000060160000}"/>
    <cellStyle name="Input 22 2 5 5" xfId="11412" xr:uid="{00000000-0005-0000-0000-000061160000}"/>
    <cellStyle name="Input 22 2 6" xfId="2109" xr:uid="{00000000-0005-0000-0000-000062160000}"/>
    <cellStyle name="Input 22 2 6 2" xfId="3568" xr:uid="{00000000-0005-0000-0000-000063160000}"/>
    <cellStyle name="Input 22 2 6 2 2" xfId="7138" xr:uid="{00000000-0005-0000-0000-000064160000}"/>
    <cellStyle name="Input 22 2 6 2 3" xfId="9103" xr:uid="{00000000-0005-0000-0000-000065160000}"/>
    <cellStyle name="Input 22 2 6 2 4" xfId="10395" xr:uid="{00000000-0005-0000-0000-000066160000}"/>
    <cellStyle name="Input 22 2 6 3" xfId="5697" xr:uid="{00000000-0005-0000-0000-000067160000}"/>
    <cellStyle name="Input 22 2 6 4" xfId="7781" xr:uid="{00000000-0005-0000-0000-000068160000}"/>
    <cellStyle name="Input 22 2 6 5" xfId="11475" xr:uid="{00000000-0005-0000-0000-000069160000}"/>
    <cellStyle name="Input 22 2 7" xfId="2182" xr:uid="{00000000-0005-0000-0000-00006A160000}"/>
    <cellStyle name="Input 22 2 7 2" xfId="3641" xr:uid="{00000000-0005-0000-0000-00006B160000}"/>
    <cellStyle name="Input 22 2 7 2 2" xfId="7211" xr:uid="{00000000-0005-0000-0000-00006C160000}"/>
    <cellStyle name="Input 22 2 7 2 3" xfId="9176" xr:uid="{00000000-0005-0000-0000-00006D160000}"/>
    <cellStyle name="Input 22 2 7 2 4" xfId="10468" xr:uid="{00000000-0005-0000-0000-00006E160000}"/>
    <cellStyle name="Input 22 2 7 3" xfId="5770" xr:uid="{00000000-0005-0000-0000-00006F160000}"/>
    <cellStyle name="Input 22 2 7 4" xfId="5141" xr:uid="{00000000-0005-0000-0000-000070160000}"/>
    <cellStyle name="Input 22 2 7 5" xfId="11548" xr:uid="{00000000-0005-0000-0000-000071160000}"/>
    <cellStyle name="Input 22 2 8" xfId="2286" xr:uid="{00000000-0005-0000-0000-000072160000}"/>
    <cellStyle name="Input 22 2 8 2" xfId="3743" xr:uid="{00000000-0005-0000-0000-000073160000}"/>
    <cellStyle name="Input 22 2 8 2 2" xfId="7313" xr:uid="{00000000-0005-0000-0000-000074160000}"/>
    <cellStyle name="Input 22 2 8 2 3" xfId="9276" xr:uid="{00000000-0005-0000-0000-000075160000}"/>
    <cellStyle name="Input 22 2 8 2 4" xfId="10570" xr:uid="{00000000-0005-0000-0000-000076160000}"/>
    <cellStyle name="Input 22 2 8 3" xfId="5874" xr:uid="{00000000-0005-0000-0000-000077160000}"/>
    <cellStyle name="Input 22 2 8 4" xfId="6133" xr:uid="{00000000-0005-0000-0000-000078160000}"/>
    <cellStyle name="Input 22 2 8 5" xfId="11651" xr:uid="{00000000-0005-0000-0000-000079160000}"/>
    <cellStyle name="Input 22 2 9" xfId="2378" xr:uid="{00000000-0005-0000-0000-00007A160000}"/>
    <cellStyle name="Input 22 2 9 2" xfId="3834" xr:uid="{00000000-0005-0000-0000-00007B160000}"/>
    <cellStyle name="Input 22 2 9 2 2" xfId="7404" xr:uid="{00000000-0005-0000-0000-00007C160000}"/>
    <cellStyle name="Input 22 2 9 2 3" xfId="9366" xr:uid="{00000000-0005-0000-0000-00007D160000}"/>
    <cellStyle name="Input 22 2 9 2 4" xfId="10661" xr:uid="{00000000-0005-0000-0000-00007E160000}"/>
    <cellStyle name="Input 22 2 9 3" xfId="5966" xr:uid="{00000000-0005-0000-0000-00007F160000}"/>
    <cellStyle name="Input 22 2 9 4" xfId="5386" xr:uid="{00000000-0005-0000-0000-000080160000}"/>
    <cellStyle name="Input 22 2 9 5" xfId="11742" xr:uid="{00000000-0005-0000-0000-000081160000}"/>
    <cellStyle name="Input 22 3" xfId="1525" xr:uid="{00000000-0005-0000-0000-000082160000}"/>
    <cellStyle name="Input 22 3 2" xfId="3009" xr:uid="{00000000-0005-0000-0000-000083160000}"/>
    <cellStyle name="Input 22 3 2 2" xfId="6586" xr:uid="{00000000-0005-0000-0000-000084160000}"/>
    <cellStyle name="Input 22 3 2 3" xfId="8587" xr:uid="{00000000-0005-0000-0000-000085160000}"/>
    <cellStyle name="Input 22 3 2 4" xfId="9910" xr:uid="{00000000-0005-0000-0000-000086160000}"/>
    <cellStyle name="Input 22 3 3" xfId="5122" xr:uid="{00000000-0005-0000-0000-000087160000}"/>
    <cellStyle name="Input 22 3 4" xfId="7713" xr:uid="{00000000-0005-0000-0000-000088160000}"/>
    <cellStyle name="Input 22 3 5" xfId="10992" xr:uid="{00000000-0005-0000-0000-000089160000}"/>
    <cellStyle name="Input 22 4" xfId="1512" xr:uid="{00000000-0005-0000-0000-00008A160000}"/>
    <cellStyle name="Input 22 4 2" xfId="2996" xr:uid="{00000000-0005-0000-0000-00008B160000}"/>
    <cellStyle name="Input 22 4 2 2" xfId="6573" xr:uid="{00000000-0005-0000-0000-00008C160000}"/>
    <cellStyle name="Input 22 4 2 3" xfId="8574" xr:uid="{00000000-0005-0000-0000-00008D160000}"/>
    <cellStyle name="Input 22 4 2 4" xfId="9897" xr:uid="{00000000-0005-0000-0000-00008E160000}"/>
    <cellStyle name="Input 22 4 3" xfId="5109" xr:uid="{00000000-0005-0000-0000-00008F160000}"/>
    <cellStyle name="Input 22 4 4" xfId="8103" xr:uid="{00000000-0005-0000-0000-000090160000}"/>
    <cellStyle name="Input 22 4 5" xfId="10979" xr:uid="{00000000-0005-0000-0000-000091160000}"/>
    <cellStyle name="Input 22 5" xfId="1444" xr:uid="{00000000-0005-0000-0000-000092160000}"/>
    <cellStyle name="Input 22 5 2" xfId="2931" xr:uid="{00000000-0005-0000-0000-000093160000}"/>
    <cellStyle name="Input 22 5 2 2" xfId="6509" xr:uid="{00000000-0005-0000-0000-000094160000}"/>
    <cellStyle name="Input 22 5 2 3" xfId="8511" xr:uid="{00000000-0005-0000-0000-000095160000}"/>
    <cellStyle name="Input 22 5 2 4" xfId="9834" xr:uid="{00000000-0005-0000-0000-000096160000}"/>
    <cellStyle name="Input 22 5 3" xfId="5042" xr:uid="{00000000-0005-0000-0000-000097160000}"/>
    <cellStyle name="Input 22 5 4" xfId="8082" xr:uid="{00000000-0005-0000-0000-000098160000}"/>
    <cellStyle name="Input 22 5 5" xfId="10915" xr:uid="{00000000-0005-0000-0000-000099160000}"/>
    <cellStyle name="Input 22 6" xfId="2587" xr:uid="{00000000-0005-0000-0000-00009A160000}"/>
    <cellStyle name="Input 22 6 2" xfId="6175" xr:uid="{00000000-0005-0000-0000-00009B160000}"/>
    <cellStyle name="Input 22 6 3" xfId="8201" xr:uid="{00000000-0005-0000-0000-00009C160000}"/>
    <cellStyle name="Input 22 6 4" xfId="9552" xr:uid="{00000000-0005-0000-0000-00009D160000}"/>
    <cellStyle name="Input 22 7" xfId="4491" xr:uid="{00000000-0005-0000-0000-00009E160000}"/>
    <cellStyle name="Input 22 8" xfId="4758" xr:uid="{00000000-0005-0000-0000-00009F160000}"/>
    <cellStyle name="Input 22 9" xfId="4154" xr:uid="{00000000-0005-0000-0000-0000A0160000}"/>
    <cellStyle name="Input 23" xfId="878" xr:uid="{00000000-0005-0000-0000-0000A1160000}"/>
    <cellStyle name="Input 23 2" xfId="1192" xr:uid="{00000000-0005-0000-0000-0000A2160000}"/>
    <cellStyle name="Input 23 2 10" xfId="2448" xr:uid="{00000000-0005-0000-0000-0000A3160000}"/>
    <cellStyle name="Input 23 2 10 2" xfId="3903" xr:uid="{00000000-0005-0000-0000-0000A4160000}"/>
    <cellStyle name="Input 23 2 10 2 2" xfId="7473" xr:uid="{00000000-0005-0000-0000-0000A5160000}"/>
    <cellStyle name="Input 23 2 10 2 3" xfId="9433" xr:uid="{00000000-0005-0000-0000-0000A6160000}"/>
    <cellStyle name="Input 23 2 10 2 4" xfId="10730" xr:uid="{00000000-0005-0000-0000-0000A7160000}"/>
    <cellStyle name="Input 23 2 10 3" xfId="6036" xr:uid="{00000000-0005-0000-0000-0000A8160000}"/>
    <cellStyle name="Input 23 2 10 4" xfId="7583" xr:uid="{00000000-0005-0000-0000-0000A9160000}"/>
    <cellStyle name="Input 23 2 10 5" xfId="11812" xr:uid="{00000000-0005-0000-0000-0000AA160000}"/>
    <cellStyle name="Input 23 2 11" xfId="2501" xr:uid="{00000000-0005-0000-0000-0000AB160000}"/>
    <cellStyle name="Input 23 2 11 2" xfId="3956" xr:uid="{00000000-0005-0000-0000-0000AC160000}"/>
    <cellStyle name="Input 23 2 11 2 2" xfId="7526" xr:uid="{00000000-0005-0000-0000-0000AD160000}"/>
    <cellStyle name="Input 23 2 11 2 3" xfId="9486" xr:uid="{00000000-0005-0000-0000-0000AE160000}"/>
    <cellStyle name="Input 23 2 11 2 4" xfId="10783" xr:uid="{00000000-0005-0000-0000-0000AF160000}"/>
    <cellStyle name="Input 23 2 11 3" xfId="6089" xr:uid="{00000000-0005-0000-0000-0000B0160000}"/>
    <cellStyle name="Input 23 2 11 4" xfId="4637" xr:uid="{00000000-0005-0000-0000-0000B1160000}"/>
    <cellStyle name="Input 23 2 11 5" xfId="11865" xr:uid="{00000000-0005-0000-0000-0000B2160000}"/>
    <cellStyle name="Input 23 2 12" xfId="2707" xr:uid="{00000000-0005-0000-0000-0000B3160000}"/>
    <cellStyle name="Input 23 2 12 2" xfId="6290" xr:uid="{00000000-0005-0000-0000-0000B4160000}"/>
    <cellStyle name="Input 23 2 12 3" xfId="8304" xr:uid="{00000000-0005-0000-0000-0000B5160000}"/>
    <cellStyle name="Input 23 2 12 4" xfId="9642" xr:uid="{00000000-0005-0000-0000-0000B6160000}"/>
    <cellStyle name="Input 23 2 13" xfId="4791" xr:uid="{00000000-0005-0000-0000-0000B7160000}"/>
    <cellStyle name="Input 23 2 14" xfId="4166" xr:uid="{00000000-0005-0000-0000-0000B8160000}"/>
    <cellStyle name="Input 23 2 15" xfId="7634" xr:uid="{00000000-0005-0000-0000-0000B9160000}"/>
    <cellStyle name="Input 23 2 2" xfId="1739" xr:uid="{00000000-0005-0000-0000-0000BA160000}"/>
    <cellStyle name="Input 23 2 2 2" xfId="3216" xr:uid="{00000000-0005-0000-0000-0000BB160000}"/>
    <cellStyle name="Input 23 2 2 2 2" xfId="6789" xr:uid="{00000000-0005-0000-0000-0000BC160000}"/>
    <cellStyle name="Input 23 2 2 2 3" xfId="8767" xr:uid="{00000000-0005-0000-0000-0000BD160000}"/>
    <cellStyle name="Input 23 2 2 2 4" xfId="10069" xr:uid="{00000000-0005-0000-0000-0000BE160000}"/>
    <cellStyle name="Input 23 2 2 3" xfId="5331" xr:uid="{00000000-0005-0000-0000-0000BF160000}"/>
    <cellStyle name="Input 23 2 2 4" xfId="4669" xr:uid="{00000000-0005-0000-0000-0000C0160000}"/>
    <cellStyle name="Input 23 2 2 5" xfId="11146" xr:uid="{00000000-0005-0000-0000-0000C1160000}"/>
    <cellStyle name="Input 23 2 3" xfId="1908" xr:uid="{00000000-0005-0000-0000-0000C2160000}"/>
    <cellStyle name="Input 23 2 3 2" xfId="3372" xr:uid="{00000000-0005-0000-0000-0000C3160000}"/>
    <cellStyle name="Input 23 2 3 2 2" xfId="6942" xr:uid="{00000000-0005-0000-0000-0000C4160000}"/>
    <cellStyle name="Input 23 2 3 2 3" xfId="8908" xr:uid="{00000000-0005-0000-0000-0000C5160000}"/>
    <cellStyle name="Input 23 2 3 2 4" xfId="10199" xr:uid="{00000000-0005-0000-0000-0000C6160000}"/>
    <cellStyle name="Input 23 2 3 3" xfId="5496" xr:uid="{00000000-0005-0000-0000-0000C7160000}"/>
    <cellStyle name="Input 23 2 3 4" xfId="8030" xr:uid="{00000000-0005-0000-0000-0000C8160000}"/>
    <cellStyle name="Input 23 2 3 5" xfId="11277" xr:uid="{00000000-0005-0000-0000-0000C9160000}"/>
    <cellStyle name="Input 23 2 4" xfId="1980" xr:uid="{00000000-0005-0000-0000-0000CA160000}"/>
    <cellStyle name="Input 23 2 4 2" xfId="3443" xr:uid="{00000000-0005-0000-0000-0000CB160000}"/>
    <cellStyle name="Input 23 2 4 2 2" xfId="7013" xr:uid="{00000000-0005-0000-0000-0000CC160000}"/>
    <cellStyle name="Input 23 2 4 2 3" xfId="8979" xr:uid="{00000000-0005-0000-0000-0000CD160000}"/>
    <cellStyle name="Input 23 2 4 2 4" xfId="10270" xr:uid="{00000000-0005-0000-0000-0000CE160000}"/>
    <cellStyle name="Input 23 2 4 3" xfId="5568" xr:uid="{00000000-0005-0000-0000-0000CF160000}"/>
    <cellStyle name="Input 23 2 4 4" xfId="7999" xr:uid="{00000000-0005-0000-0000-0000D0160000}"/>
    <cellStyle name="Input 23 2 4 5" xfId="11348" xr:uid="{00000000-0005-0000-0000-0000D1160000}"/>
    <cellStyle name="Input 23 2 5" xfId="2046" xr:uid="{00000000-0005-0000-0000-0000D2160000}"/>
    <cellStyle name="Input 23 2 5 2" xfId="3507" xr:uid="{00000000-0005-0000-0000-0000D3160000}"/>
    <cellStyle name="Input 23 2 5 2 2" xfId="7077" xr:uid="{00000000-0005-0000-0000-0000D4160000}"/>
    <cellStyle name="Input 23 2 5 2 3" xfId="9043" xr:uid="{00000000-0005-0000-0000-0000D5160000}"/>
    <cellStyle name="Input 23 2 5 2 4" xfId="10334" xr:uid="{00000000-0005-0000-0000-0000D6160000}"/>
    <cellStyle name="Input 23 2 5 3" xfId="5634" xr:uid="{00000000-0005-0000-0000-0000D7160000}"/>
    <cellStyle name="Input 23 2 5 4" xfId="7971" xr:uid="{00000000-0005-0000-0000-0000D8160000}"/>
    <cellStyle name="Input 23 2 5 5" xfId="11413" xr:uid="{00000000-0005-0000-0000-0000D9160000}"/>
    <cellStyle name="Input 23 2 6" xfId="2110" xr:uid="{00000000-0005-0000-0000-0000DA160000}"/>
    <cellStyle name="Input 23 2 6 2" xfId="3569" xr:uid="{00000000-0005-0000-0000-0000DB160000}"/>
    <cellStyle name="Input 23 2 6 2 2" xfId="7139" xr:uid="{00000000-0005-0000-0000-0000DC160000}"/>
    <cellStyle name="Input 23 2 6 2 3" xfId="9104" xr:uid="{00000000-0005-0000-0000-0000DD160000}"/>
    <cellStyle name="Input 23 2 6 2 4" xfId="10396" xr:uid="{00000000-0005-0000-0000-0000DE160000}"/>
    <cellStyle name="Input 23 2 6 3" xfId="5698" xr:uid="{00000000-0005-0000-0000-0000DF160000}"/>
    <cellStyle name="Input 23 2 6 4" xfId="7588" xr:uid="{00000000-0005-0000-0000-0000E0160000}"/>
    <cellStyle name="Input 23 2 6 5" xfId="11476" xr:uid="{00000000-0005-0000-0000-0000E1160000}"/>
    <cellStyle name="Input 23 2 7" xfId="2183" xr:uid="{00000000-0005-0000-0000-0000E2160000}"/>
    <cellStyle name="Input 23 2 7 2" xfId="3642" xr:uid="{00000000-0005-0000-0000-0000E3160000}"/>
    <cellStyle name="Input 23 2 7 2 2" xfId="7212" xr:uid="{00000000-0005-0000-0000-0000E4160000}"/>
    <cellStyle name="Input 23 2 7 2 3" xfId="9177" xr:uid="{00000000-0005-0000-0000-0000E5160000}"/>
    <cellStyle name="Input 23 2 7 2 4" xfId="10469" xr:uid="{00000000-0005-0000-0000-0000E6160000}"/>
    <cellStyle name="Input 23 2 7 3" xfId="5771" xr:uid="{00000000-0005-0000-0000-0000E7160000}"/>
    <cellStyle name="Input 23 2 7 4" xfId="6605" xr:uid="{00000000-0005-0000-0000-0000E8160000}"/>
    <cellStyle name="Input 23 2 7 5" xfId="11549" xr:uid="{00000000-0005-0000-0000-0000E9160000}"/>
    <cellStyle name="Input 23 2 8" xfId="2287" xr:uid="{00000000-0005-0000-0000-0000EA160000}"/>
    <cellStyle name="Input 23 2 8 2" xfId="3744" xr:uid="{00000000-0005-0000-0000-0000EB160000}"/>
    <cellStyle name="Input 23 2 8 2 2" xfId="7314" xr:uid="{00000000-0005-0000-0000-0000EC160000}"/>
    <cellStyle name="Input 23 2 8 2 3" xfId="9277" xr:uid="{00000000-0005-0000-0000-0000ED160000}"/>
    <cellStyle name="Input 23 2 8 2 4" xfId="10571" xr:uid="{00000000-0005-0000-0000-0000EE160000}"/>
    <cellStyle name="Input 23 2 8 3" xfId="5875" xr:uid="{00000000-0005-0000-0000-0000EF160000}"/>
    <cellStyle name="Input 23 2 8 4" xfId="4551" xr:uid="{00000000-0005-0000-0000-0000F0160000}"/>
    <cellStyle name="Input 23 2 8 5" xfId="11652" xr:uid="{00000000-0005-0000-0000-0000F1160000}"/>
    <cellStyle name="Input 23 2 9" xfId="2379" xr:uid="{00000000-0005-0000-0000-0000F2160000}"/>
    <cellStyle name="Input 23 2 9 2" xfId="3835" xr:uid="{00000000-0005-0000-0000-0000F3160000}"/>
    <cellStyle name="Input 23 2 9 2 2" xfId="7405" xr:uid="{00000000-0005-0000-0000-0000F4160000}"/>
    <cellStyle name="Input 23 2 9 2 3" xfId="9367" xr:uid="{00000000-0005-0000-0000-0000F5160000}"/>
    <cellStyle name="Input 23 2 9 2 4" xfId="10662" xr:uid="{00000000-0005-0000-0000-0000F6160000}"/>
    <cellStyle name="Input 23 2 9 3" xfId="5967" xr:uid="{00000000-0005-0000-0000-0000F7160000}"/>
    <cellStyle name="Input 23 2 9 4" xfId="6844" xr:uid="{00000000-0005-0000-0000-0000F8160000}"/>
    <cellStyle name="Input 23 2 9 5" xfId="11743" xr:uid="{00000000-0005-0000-0000-0000F9160000}"/>
    <cellStyle name="Input 23 3" xfId="1526" xr:uid="{00000000-0005-0000-0000-0000FA160000}"/>
    <cellStyle name="Input 23 3 2" xfId="3010" xr:uid="{00000000-0005-0000-0000-0000FB160000}"/>
    <cellStyle name="Input 23 3 2 2" xfId="6587" xr:uid="{00000000-0005-0000-0000-0000FC160000}"/>
    <cellStyle name="Input 23 3 2 3" xfId="8588" xr:uid="{00000000-0005-0000-0000-0000FD160000}"/>
    <cellStyle name="Input 23 3 2 4" xfId="9911" xr:uid="{00000000-0005-0000-0000-0000FE160000}"/>
    <cellStyle name="Input 23 3 3" xfId="5123" xr:uid="{00000000-0005-0000-0000-0000FF160000}"/>
    <cellStyle name="Input 23 3 4" xfId="8831" xr:uid="{00000000-0005-0000-0000-000000170000}"/>
    <cellStyle name="Input 23 3 5" xfId="10993" xr:uid="{00000000-0005-0000-0000-000001170000}"/>
    <cellStyle name="Input 23 4" xfId="1639" xr:uid="{00000000-0005-0000-0000-000002170000}"/>
    <cellStyle name="Input 23 4 2" xfId="3120" xr:uid="{00000000-0005-0000-0000-000003170000}"/>
    <cellStyle name="Input 23 4 2 2" xfId="6696" xr:uid="{00000000-0005-0000-0000-000004170000}"/>
    <cellStyle name="Input 23 4 2 3" xfId="8683" xr:uid="{00000000-0005-0000-0000-000005170000}"/>
    <cellStyle name="Input 23 4 2 4" xfId="9996" xr:uid="{00000000-0005-0000-0000-000006170000}"/>
    <cellStyle name="Input 23 4 3" xfId="5233" xr:uid="{00000000-0005-0000-0000-000007170000}"/>
    <cellStyle name="Input 23 4 4" xfId="7609" xr:uid="{00000000-0005-0000-0000-000008170000}"/>
    <cellStyle name="Input 23 4 5" xfId="11075" xr:uid="{00000000-0005-0000-0000-000009170000}"/>
    <cellStyle name="Input 23 5" xfId="1445" xr:uid="{00000000-0005-0000-0000-00000A170000}"/>
    <cellStyle name="Input 23 5 2" xfId="2932" xr:uid="{00000000-0005-0000-0000-00000B170000}"/>
    <cellStyle name="Input 23 5 2 2" xfId="6510" xr:uid="{00000000-0005-0000-0000-00000C170000}"/>
    <cellStyle name="Input 23 5 2 3" xfId="8512" xr:uid="{00000000-0005-0000-0000-00000D170000}"/>
    <cellStyle name="Input 23 5 2 4" xfId="9835" xr:uid="{00000000-0005-0000-0000-00000E170000}"/>
    <cellStyle name="Input 23 5 3" xfId="5043" xr:uid="{00000000-0005-0000-0000-00000F170000}"/>
    <cellStyle name="Input 23 5 4" xfId="9262" xr:uid="{00000000-0005-0000-0000-000010170000}"/>
    <cellStyle name="Input 23 5 5" xfId="10916" xr:uid="{00000000-0005-0000-0000-000011170000}"/>
    <cellStyle name="Input 23 6" xfId="2588" xr:uid="{00000000-0005-0000-0000-000012170000}"/>
    <cellStyle name="Input 23 6 2" xfId="6176" xr:uid="{00000000-0005-0000-0000-000013170000}"/>
    <cellStyle name="Input 23 6 3" xfId="8202" xr:uid="{00000000-0005-0000-0000-000014170000}"/>
    <cellStyle name="Input 23 6 4" xfId="9553" xr:uid="{00000000-0005-0000-0000-000015170000}"/>
    <cellStyle name="Input 23 7" xfId="4492" xr:uid="{00000000-0005-0000-0000-000016170000}"/>
    <cellStyle name="Input 23 8" xfId="4322" xr:uid="{00000000-0005-0000-0000-000017170000}"/>
    <cellStyle name="Input 23 9" xfId="4292" xr:uid="{00000000-0005-0000-0000-000018170000}"/>
    <cellStyle name="Input 24" xfId="879" xr:uid="{00000000-0005-0000-0000-000019170000}"/>
    <cellStyle name="Input 24 2" xfId="1193" xr:uid="{00000000-0005-0000-0000-00001A170000}"/>
    <cellStyle name="Input 24 2 10" xfId="2449" xr:uid="{00000000-0005-0000-0000-00001B170000}"/>
    <cellStyle name="Input 24 2 10 2" xfId="3904" xr:uid="{00000000-0005-0000-0000-00001C170000}"/>
    <cellStyle name="Input 24 2 10 2 2" xfId="7474" xr:uid="{00000000-0005-0000-0000-00001D170000}"/>
    <cellStyle name="Input 24 2 10 2 3" xfId="9434" xr:uid="{00000000-0005-0000-0000-00001E170000}"/>
    <cellStyle name="Input 24 2 10 2 4" xfId="10731" xr:uid="{00000000-0005-0000-0000-00001F170000}"/>
    <cellStyle name="Input 24 2 10 3" xfId="6037" xr:uid="{00000000-0005-0000-0000-000020170000}"/>
    <cellStyle name="Input 24 2 10 4" xfId="7584" xr:uid="{00000000-0005-0000-0000-000021170000}"/>
    <cellStyle name="Input 24 2 10 5" xfId="11813" xr:uid="{00000000-0005-0000-0000-000022170000}"/>
    <cellStyle name="Input 24 2 11" xfId="2502" xr:uid="{00000000-0005-0000-0000-000023170000}"/>
    <cellStyle name="Input 24 2 11 2" xfId="3957" xr:uid="{00000000-0005-0000-0000-000024170000}"/>
    <cellStyle name="Input 24 2 11 2 2" xfId="7527" xr:uid="{00000000-0005-0000-0000-000025170000}"/>
    <cellStyle name="Input 24 2 11 2 3" xfId="9487" xr:uid="{00000000-0005-0000-0000-000026170000}"/>
    <cellStyle name="Input 24 2 11 2 4" xfId="10784" xr:uid="{00000000-0005-0000-0000-000027170000}"/>
    <cellStyle name="Input 24 2 11 3" xfId="6090" xr:uid="{00000000-0005-0000-0000-000028170000}"/>
    <cellStyle name="Input 24 2 11 4" xfId="4638" xr:uid="{00000000-0005-0000-0000-000029170000}"/>
    <cellStyle name="Input 24 2 11 5" xfId="11866" xr:uid="{00000000-0005-0000-0000-00002A170000}"/>
    <cellStyle name="Input 24 2 12" xfId="2708" xr:uid="{00000000-0005-0000-0000-00002B170000}"/>
    <cellStyle name="Input 24 2 12 2" xfId="6291" xr:uid="{00000000-0005-0000-0000-00002C170000}"/>
    <cellStyle name="Input 24 2 12 3" xfId="8305" xr:uid="{00000000-0005-0000-0000-00002D170000}"/>
    <cellStyle name="Input 24 2 12 4" xfId="9643" xr:uid="{00000000-0005-0000-0000-00002E170000}"/>
    <cellStyle name="Input 24 2 13" xfId="4792" xr:uid="{00000000-0005-0000-0000-00002F170000}"/>
    <cellStyle name="Input 24 2 14" xfId="4165" xr:uid="{00000000-0005-0000-0000-000030170000}"/>
    <cellStyle name="Input 24 2 15" xfId="7593" xr:uid="{00000000-0005-0000-0000-000031170000}"/>
    <cellStyle name="Input 24 2 2" xfId="1740" xr:uid="{00000000-0005-0000-0000-000032170000}"/>
    <cellStyle name="Input 24 2 2 2" xfId="3217" xr:uid="{00000000-0005-0000-0000-000033170000}"/>
    <cellStyle name="Input 24 2 2 2 2" xfId="6790" xr:uid="{00000000-0005-0000-0000-000034170000}"/>
    <cellStyle name="Input 24 2 2 2 3" xfId="8768" xr:uid="{00000000-0005-0000-0000-000035170000}"/>
    <cellStyle name="Input 24 2 2 2 4" xfId="10070" xr:uid="{00000000-0005-0000-0000-000036170000}"/>
    <cellStyle name="Input 24 2 2 3" xfId="5332" xr:uid="{00000000-0005-0000-0000-000037170000}"/>
    <cellStyle name="Input 24 2 2 4" xfId="6874" xr:uid="{00000000-0005-0000-0000-000038170000}"/>
    <cellStyle name="Input 24 2 2 5" xfId="11147" xr:uid="{00000000-0005-0000-0000-000039170000}"/>
    <cellStyle name="Input 24 2 3" xfId="1909" xr:uid="{00000000-0005-0000-0000-00003A170000}"/>
    <cellStyle name="Input 24 2 3 2" xfId="3373" xr:uid="{00000000-0005-0000-0000-00003B170000}"/>
    <cellStyle name="Input 24 2 3 2 2" xfId="6943" xr:uid="{00000000-0005-0000-0000-00003C170000}"/>
    <cellStyle name="Input 24 2 3 2 3" xfId="8909" xr:uid="{00000000-0005-0000-0000-00003D170000}"/>
    <cellStyle name="Input 24 2 3 2 4" xfId="10200" xr:uid="{00000000-0005-0000-0000-00003E170000}"/>
    <cellStyle name="Input 24 2 3 3" xfId="5497" xr:uid="{00000000-0005-0000-0000-00003F170000}"/>
    <cellStyle name="Input 24 2 3 4" xfId="7930" xr:uid="{00000000-0005-0000-0000-000040170000}"/>
    <cellStyle name="Input 24 2 3 5" xfId="11278" xr:uid="{00000000-0005-0000-0000-000041170000}"/>
    <cellStyle name="Input 24 2 4" xfId="1981" xr:uid="{00000000-0005-0000-0000-000042170000}"/>
    <cellStyle name="Input 24 2 4 2" xfId="3444" xr:uid="{00000000-0005-0000-0000-000043170000}"/>
    <cellStyle name="Input 24 2 4 2 2" xfId="7014" xr:uid="{00000000-0005-0000-0000-000044170000}"/>
    <cellStyle name="Input 24 2 4 2 3" xfId="8980" xr:uid="{00000000-0005-0000-0000-000045170000}"/>
    <cellStyle name="Input 24 2 4 2 4" xfId="10271" xr:uid="{00000000-0005-0000-0000-000046170000}"/>
    <cellStyle name="Input 24 2 4 3" xfId="5569" xr:uid="{00000000-0005-0000-0000-000047170000}"/>
    <cellStyle name="Input 24 2 4 4" xfId="7800" xr:uid="{00000000-0005-0000-0000-000048170000}"/>
    <cellStyle name="Input 24 2 4 5" xfId="11349" xr:uid="{00000000-0005-0000-0000-000049170000}"/>
    <cellStyle name="Input 24 2 5" xfId="2047" xr:uid="{00000000-0005-0000-0000-00004A170000}"/>
    <cellStyle name="Input 24 2 5 2" xfId="3508" xr:uid="{00000000-0005-0000-0000-00004B170000}"/>
    <cellStyle name="Input 24 2 5 2 2" xfId="7078" xr:uid="{00000000-0005-0000-0000-00004C170000}"/>
    <cellStyle name="Input 24 2 5 2 3" xfId="9044" xr:uid="{00000000-0005-0000-0000-00004D170000}"/>
    <cellStyle name="Input 24 2 5 2 4" xfId="10335" xr:uid="{00000000-0005-0000-0000-00004E170000}"/>
    <cellStyle name="Input 24 2 5 3" xfId="5635" xr:uid="{00000000-0005-0000-0000-00004F170000}"/>
    <cellStyle name="Input 24 2 5 4" xfId="7724" xr:uid="{00000000-0005-0000-0000-000050170000}"/>
    <cellStyle name="Input 24 2 5 5" xfId="11414" xr:uid="{00000000-0005-0000-0000-000051170000}"/>
    <cellStyle name="Input 24 2 6" xfId="2111" xr:uid="{00000000-0005-0000-0000-000052170000}"/>
    <cellStyle name="Input 24 2 6 2" xfId="3570" xr:uid="{00000000-0005-0000-0000-000053170000}"/>
    <cellStyle name="Input 24 2 6 2 2" xfId="7140" xr:uid="{00000000-0005-0000-0000-000054170000}"/>
    <cellStyle name="Input 24 2 6 2 3" xfId="9105" xr:uid="{00000000-0005-0000-0000-000055170000}"/>
    <cellStyle name="Input 24 2 6 2 4" xfId="10397" xr:uid="{00000000-0005-0000-0000-000056170000}"/>
    <cellStyle name="Input 24 2 6 3" xfId="5699" xr:uid="{00000000-0005-0000-0000-000057170000}"/>
    <cellStyle name="Input 24 2 6 4" xfId="7655" xr:uid="{00000000-0005-0000-0000-000058170000}"/>
    <cellStyle name="Input 24 2 6 5" xfId="11477" xr:uid="{00000000-0005-0000-0000-000059170000}"/>
    <cellStyle name="Input 24 2 7" xfId="2184" xr:uid="{00000000-0005-0000-0000-00005A170000}"/>
    <cellStyle name="Input 24 2 7 2" xfId="3643" xr:uid="{00000000-0005-0000-0000-00005B170000}"/>
    <cellStyle name="Input 24 2 7 2 2" xfId="7213" xr:uid="{00000000-0005-0000-0000-00005C170000}"/>
    <cellStyle name="Input 24 2 7 2 3" xfId="9178" xr:uid="{00000000-0005-0000-0000-00005D170000}"/>
    <cellStyle name="Input 24 2 7 2 4" xfId="10470" xr:uid="{00000000-0005-0000-0000-00005E170000}"/>
    <cellStyle name="Input 24 2 7 3" xfId="5772" xr:uid="{00000000-0005-0000-0000-00005F170000}"/>
    <cellStyle name="Input 24 2 7 4" xfId="5425" xr:uid="{00000000-0005-0000-0000-000060170000}"/>
    <cellStyle name="Input 24 2 7 5" xfId="11550" xr:uid="{00000000-0005-0000-0000-000061170000}"/>
    <cellStyle name="Input 24 2 8" xfId="2288" xr:uid="{00000000-0005-0000-0000-000062170000}"/>
    <cellStyle name="Input 24 2 8 2" xfId="3745" xr:uid="{00000000-0005-0000-0000-000063170000}"/>
    <cellStyle name="Input 24 2 8 2 2" xfId="7315" xr:uid="{00000000-0005-0000-0000-000064170000}"/>
    <cellStyle name="Input 24 2 8 2 3" xfId="9278" xr:uid="{00000000-0005-0000-0000-000065170000}"/>
    <cellStyle name="Input 24 2 8 2 4" xfId="10572" xr:uid="{00000000-0005-0000-0000-000066170000}"/>
    <cellStyle name="Input 24 2 8 3" xfId="5876" xr:uid="{00000000-0005-0000-0000-000067170000}"/>
    <cellStyle name="Input 24 2 8 4" xfId="4552" xr:uid="{00000000-0005-0000-0000-000068170000}"/>
    <cellStyle name="Input 24 2 8 5" xfId="11653" xr:uid="{00000000-0005-0000-0000-000069170000}"/>
    <cellStyle name="Input 24 2 9" xfId="2380" xr:uid="{00000000-0005-0000-0000-00006A170000}"/>
    <cellStyle name="Input 24 2 9 2" xfId="3836" xr:uid="{00000000-0005-0000-0000-00006B170000}"/>
    <cellStyle name="Input 24 2 9 2 2" xfId="7406" xr:uid="{00000000-0005-0000-0000-00006C170000}"/>
    <cellStyle name="Input 24 2 9 2 3" xfId="9368" xr:uid="{00000000-0005-0000-0000-00006D170000}"/>
    <cellStyle name="Input 24 2 9 2 4" xfId="10663" xr:uid="{00000000-0005-0000-0000-00006E170000}"/>
    <cellStyle name="Input 24 2 9 3" xfId="5968" xr:uid="{00000000-0005-0000-0000-00006F170000}"/>
    <cellStyle name="Input 24 2 9 4" xfId="6340" xr:uid="{00000000-0005-0000-0000-000070170000}"/>
    <cellStyle name="Input 24 2 9 5" xfId="11744" xr:uid="{00000000-0005-0000-0000-000071170000}"/>
    <cellStyle name="Input 24 3" xfId="1527" xr:uid="{00000000-0005-0000-0000-000072170000}"/>
    <cellStyle name="Input 24 3 2" xfId="3011" xr:uid="{00000000-0005-0000-0000-000073170000}"/>
    <cellStyle name="Input 24 3 2 2" xfId="6588" xr:uid="{00000000-0005-0000-0000-000074170000}"/>
    <cellStyle name="Input 24 3 2 3" xfId="8589" xr:uid="{00000000-0005-0000-0000-000075170000}"/>
    <cellStyle name="Input 24 3 2 4" xfId="9912" xr:uid="{00000000-0005-0000-0000-000076170000}"/>
    <cellStyle name="Input 24 3 3" xfId="5124" xr:uid="{00000000-0005-0000-0000-000077170000}"/>
    <cellStyle name="Input 24 3 4" xfId="7847" xr:uid="{00000000-0005-0000-0000-000078170000}"/>
    <cellStyle name="Input 24 3 5" xfId="10994" xr:uid="{00000000-0005-0000-0000-000079170000}"/>
    <cellStyle name="Input 24 4" xfId="1390" xr:uid="{00000000-0005-0000-0000-00007A170000}"/>
    <cellStyle name="Input 24 4 2" xfId="2886" xr:uid="{00000000-0005-0000-0000-00007B170000}"/>
    <cellStyle name="Input 24 4 2 2" xfId="6465" xr:uid="{00000000-0005-0000-0000-00007C170000}"/>
    <cellStyle name="Input 24 4 2 3" xfId="8466" xr:uid="{00000000-0005-0000-0000-00007D170000}"/>
    <cellStyle name="Input 24 4 2 4" xfId="9791" xr:uid="{00000000-0005-0000-0000-00007E170000}"/>
    <cellStyle name="Input 24 4 3" xfId="4988" xr:uid="{00000000-0005-0000-0000-00007F170000}"/>
    <cellStyle name="Input 24 4 4" xfId="4046" xr:uid="{00000000-0005-0000-0000-000080170000}"/>
    <cellStyle name="Input 24 4 5" xfId="10873" xr:uid="{00000000-0005-0000-0000-000081170000}"/>
    <cellStyle name="Input 24 5" xfId="1659" xr:uid="{00000000-0005-0000-0000-000082170000}"/>
    <cellStyle name="Input 24 5 2" xfId="3137" xr:uid="{00000000-0005-0000-0000-000083170000}"/>
    <cellStyle name="Input 24 5 2 2" xfId="6713" xr:uid="{00000000-0005-0000-0000-000084170000}"/>
    <cellStyle name="Input 24 5 2 3" xfId="8700" xr:uid="{00000000-0005-0000-0000-000085170000}"/>
    <cellStyle name="Input 24 5 2 4" xfId="10011" xr:uid="{00000000-0005-0000-0000-000086170000}"/>
    <cellStyle name="Input 24 5 3" xfId="5253" xr:uid="{00000000-0005-0000-0000-000087170000}"/>
    <cellStyle name="Input 24 5 4" xfId="8281" xr:uid="{00000000-0005-0000-0000-000088170000}"/>
    <cellStyle name="Input 24 5 5" xfId="11089" xr:uid="{00000000-0005-0000-0000-000089170000}"/>
    <cellStyle name="Input 24 6" xfId="2589" xr:uid="{00000000-0005-0000-0000-00008A170000}"/>
    <cellStyle name="Input 24 6 2" xfId="6177" xr:uid="{00000000-0005-0000-0000-00008B170000}"/>
    <cellStyle name="Input 24 6 3" xfId="8203" xr:uid="{00000000-0005-0000-0000-00008C170000}"/>
    <cellStyle name="Input 24 6 4" xfId="9554" xr:uid="{00000000-0005-0000-0000-00008D170000}"/>
    <cellStyle name="Input 24 7" xfId="4493" xr:uid="{00000000-0005-0000-0000-00008E170000}"/>
    <cellStyle name="Input 24 8" xfId="4321" xr:uid="{00000000-0005-0000-0000-00008F170000}"/>
    <cellStyle name="Input 24 9" xfId="4293" xr:uid="{00000000-0005-0000-0000-000090170000}"/>
    <cellStyle name="Input 25" xfId="880" xr:uid="{00000000-0005-0000-0000-000091170000}"/>
    <cellStyle name="Input 25 2" xfId="1194" xr:uid="{00000000-0005-0000-0000-000092170000}"/>
    <cellStyle name="Input 25 2 10" xfId="2450" xr:uid="{00000000-0005-0000-0000-000093170000}"/>
    <cellStyle name="Input 25 2 10 2" xfId="3905" xr:uid="{00000000-0005-0000-0000-000094170000}"/>
    <cellStyle name="Input 25 2 10 2 2" xfId="7475" xr:uid="{00000000-0005-0000-0000-000095170000}"/>
    <cellStyle name="Input 25 2 10 2 3" xfId="9435" xr:uid="{00000000-0005-0000-0000-000096170000}"/>
    <cellStyle name="Input 25 2 10 2 4" xfId="10732" xr:uid="{00000000-0005-0000-0000-000097170000}"/>
    <cellStyle name="Input 25 2 10 3" xfId="6038" xr:uid="{00000000-0005-0000-0000-000098170000}"/>
    <cellStyle name="Input 25 2 10 4" xfId="7585" xr:uid="{00000000-0005-0000-0000-000099170000}"/>
    <cellStyle name="Input 25 2 10 5" xfId="11814" xr:uid="{00000000-0005-0000-0000-00009A170000}"/>
    <cellStyle name="Input 25 2 11" xfId="2503" xr:uid="{00000000-0005-0000-0000-00009B170000}"/>
    <cellStyle name="Input 25 2 11 2" xfId="3958" xr:uid="{00000000-0005-0000-0000-00009C170000}"/>
    <cellStyle name="Input 25 2 11 2 2" xfId="7528" xr:uid="{00000000-0005-0000-0000-00009D170000}"/>
    <cellStyle name="Input 25 2 11 2 3" xfId="9488" xr:uid="{00000000-0005-0000-0000-00009E170000}"/>
    <cellStyle name="Input 25 2 11 2 4" xfId="10785" xr:uid="{00000000-0005-0000-0000-00009F170000}"/>
    <cellStyle name="Input 25 2 11 3" xfId="6091" xr:uid="{00000000-0005-0000-0000-0000A0170000}"/>
    <cellStyle name="Input 25 2 11 4" xfId="4639" xr:uid="{00000000-0005-0000-0000-0000A1170000}"/>
    <cellStyle name="Input 25 2 11 5" xfId="11867" xr:uid="{00000000-0005-0000-0000-0000A2170000}"/>
    <cellStyle name="Input 25 2 12" xfId="2709" xr:uid="{00000000-0005-0000-0000-0000A3170000}"/>
    <cellStyle name="Input 25 2 12 2" xfId="6292" xr:uid="{00000000-0005-0000-0000-0000A4170000}"/>
    <cellStyle name="Input 25 2 12 3" xfId="8306" xr:uid="{00000000-0005-0000-0000-0000A5170000}"/>
    <cellStyle name="Input 25 2 12 4" xfId="9644" xr:uid="{00000000-0005-0000-0000-0000A6170000}"/>
    <cellStyle name="Input 25 2 13" xfId="4793" xr:uid="{00000000-0005-0000-0000-0000A7170000}"/>
    <cellStyle name="Input 25 2 14" xfId="4164" xr:uid="{00000000-0005-0000-0000-0000A8170000}"/>
    <cellStyle name="Input 25 2 15" xfId="7697" xr:uid="{00000000-0005-0000-0000-0000A9170000}"/>
    <cellStyle name="Input 25 2 2" xfId="1741" xr:uid="{00000000-0005-0000-0000-0000AA170000}"/>
    <cellStyle name="Input 25 2 2 2" xfId="3218" xr:uid="{00000000-0005-0000-0000-0000AB170000}"/>
    <cellStyle name="Input 25 2 2 2 2" xfId="6791" xr:uid="{00000000-0005-0000-0000-0000AC170000}"/>
    <cellStyle name="Input 25 2 2 2 3" xfId="8769" xr:uid="{00000000-0005-0000-0000-0000AD170000}"/>
    <cellStyle name="Input 25 2 2 2 4" xfId="10071" xr:uid="{00000000-0005-0000-0000-0000AE170000}"/>
    <cellStyle name="Input 25 2 2 3" xfId="5333" xr:uid="{00000000-0005-0000-0000-0000AF170000}"/>
    <cellStyle name="Input 25 2 2 4" xfId="5436" xr:uid="{00000000-0005-0000-0000-0000B0170000}"/>
    <cellStyle name="Input 25 2 2 5" xfId="11148" xr:uid="{00000000-0005-0000-0000-0000B1170000}"/>
    <cellStyle name="Input 25 2 3" xfId="1910" xr:uid="{00000000-0005-0000-0000-0000B2170000}"/>
    <cellStyle name="Input 25 2 3 2" xfId="3374" xr:uid="{00000000-0005-0000-0000-0000B3170000}"/>
    <cellStyle name="Input 25 2 3 2 2" xfId="6944" xr:uid="{00000000-0005-0000-0000-0000B4170000}"/>
    <cellStyle name="Input 25 2 3 2 3" xfId="8910" xr:uid="{00000000-0005-0000-0000-0000B5170000}"/>
    <cellStyle name="Input 25 2 3 2 4" xfId="10201" xr:uid="{00000000-0005-0000-0000-0000B6170000}"/>
    <cellStyle name="Input 25 2 3 3" xfId="5498" xr:uid="{00000000-0005-0000-0000-0000B7170000}"/>
    <cellStyle name="Input 25 2 3 4" xfId="7670" xr:uid="{00000000-0005-0000-0000-0000B8170000}"/>
    <cellStyle name="Input 25 2 3 5" xfId="11279" xr:uid="{00000000-0005-0000-0000-0000B9170000}"/>
    <cellStyle name="Input 25 2 4" xfId="1982" xr:uid="{00000000-0005-0000-0000-0000BA170000}"/>
    <cellStyle name="Input 25 2 4 2" xfId="3445" xr:uid="{00000000-0005-0000-0000-0000BB170000}"/>
    <cellStyle name="Input 25 2 4 2 2" xfId="7015" xr:uid="{00000000-0005-0000-0000-0000BC170000}"/>
    <cellStyle name="Input 25 2 4 2 3" xfId="8981" xr:uid="{00000000-0005-0000-0000-0000BD170000}"/>
    <cellStyle name="Input 25 2 4 2 4" xfId="10272" xr:uid="{00000000-0005-0000-0000-0000BE170000}"/>
    <cellStyle name="Input 25 2 4 3" xfId="5570" xr:uid="{00000000-0005-0000-0000-0000BF170000}"/>
    <cellStyle name="Input 25 2 4 4" xfId="7758" xr:uid="{00000000-0005-0000-0000-0000C0170000}"/>
    <cellStyle name="Input 25 2 4 5" xfId="11350" xr:uid="{00000000-0005-0000-0000-0000C1170000}"/>
    <cellStyle name="Input 25 2 5" xfId="2048" xr:uid="{00000000-0005-0000-0000-0000C2170000}"/>
    <cellStyle name="Input 25 2 5 2" xfId="3509" xr:uid="{00000000-0005-0000-0000-0000C3170000}"/>
    <cellStyle name="Input 25 2 5 2 2" xfId="7079" xr:uid="{00000000-0005-0000-0000-0000C4170000}"/>
    <cellStyle name="Input 25 2 5 2 3" xfId="9045" xr:uid="{00000000-0005-0000-0000-0000C5170000}"/>
    <cellStyle name="Input 25 2 5 2 4" xfId="10336" xr:uid="{00000000-0005-0000-0000-0000C6170000}"/>
    <cellStyle name="Input 25 2 5 3" xfId="5636" xr:uid="{00000000-0005-0000-0000-0000C7170000}"/>
    <cellStyle name="Input 25 2 5 4" xfId="7608" xr:uid="{00000000-0005-0000-0000-0000C8170000}"/>
    <cellStyle name="Input 25 2 5 5" xfId="11415" xr:uid="{00000000-0005-0000-0000-0000C9170000}"/>
    <cellStyle name="Input 25 2 6" xfId="2112" xr:uid="{00000000-0005-0000-0000-0000CA170000}"/>
    <cellStyle name="Input 25 2 6 2" xfId="3571" xr:uid="{00000000-0005-0000-0000-0000CB170000}"/>
    <cellStyle name="Input 25 2 6 2 2" xfId="7141" xr:uid="{00000000-0005-0000-0000-0000CC170000}"/>
    <cellStyle name="Input 25 2 6 2 3" xfId="9106" xr:uid="{00000000-0005-0000-0000-0000CD170000}"/>
    <cellStyle name="Input 25 2 6 2 4" xfId="10398" xr:uid="{00000000-0005-0000-0000-0000CE170000}"/>
    <cellStyle name="Input 25 2 6 3" xfId="5700" xr:uid="{00000000-0005-0000-0000-0000CF170000}"/>
    <cellStyle name="Input 25 2 6 4" xfId="5002" xr:uid="{00000000-0005-0000-0000-0000D0170000}"/>
    <cellStyle name="Input 25 2 6 5" xfId="11478" xr:uid="{00000000-0005-0000-0000-0000D1170000}"/>
    <cellStyle name="Input 25 2 7" xfId="2185" xr:uid="{00000000-0005-0000-0000-0000D2170000}"/>
    <cellStyle name="Input 25 2 7 2" xfId="3644" xr:uid="{00000000-0005-0000-0000-0000D3170000}"/>
    <cellStyle name="Input 25 2 7 2 2" xfId="7214" xr:uid="{00000000-0005-0000-0000-0000D4170000}"/>
    <cellStyle name="Input 25 2 7 2 3" xfId="9179" xr:uid="{00000000-0005-0000-0000-0000D5170000}"/>
    <cellStyle name="Input 25 2 7 2 4" xfId="10471" xr:uid="{00000000-0005-0000-0000-0000D6170000}"/>
    <cellStyle name="Input 25 2 7 3" xfId="5773" xr:uid="{00000000-0005-0000-0000-0000D7170000}"/>
    <cellStyle name="Input 25 2 7 4" xfId="4511" xr:uid="{00000000-0005-0000-0000-0000D8170000}"/>
    <cellStyle name="Input 25 2 7 5" xfId="11551" xr:uid="{00000000-0005-0000-0000-0000D9170000}"/>
    <cellStyle name="Input 25 2 8" xfId="2289" xr:uid="{00000000-0005-0000-0000-0000DA170000}"/>
    <cellStyle name="Input 25 2 8 2" xfId="3746" xr:uid="{00000000-0005-0000-0000-0000DB170000}"/>
    <cellStyle name="Input 25 2 8 2 2" xfId="7316" xr:uid="{00000000-0005-0000-0000-0000DC170000}"/>
    <cellStyle name="Input 25 2 8 2 3" xfId="9279" xr:uid="{00000000-0005-0000-0000-0000DD170000}"/>
    <cellStyle name="Input 25 2 8 2 4" xfId="10573" xr:uid="{00000000-0005-0000-0000-0000DE170000}"/>
    <cellStyle name="Input 25 2 8 3" xfId="5877" xr:uid="{00000000-0005-0000-0000-0000DF170000}"/>
    <cellStyle name="Input 25 2 8 4" xfId="4553" xr:uid="{00000000-0005-0000-0000-0000E0170000}"/>
    <cellStyle name="Input 25 2 8 5" xfId="11654" xr:uid="{00000000-0005-0000-0000-0000E1170000}"/>
    <cellStyle name="Input 25 2 9" xfId="2381" xr:uid="{00000000-0005-0000-0000-0000E2170000}"/>
    <cellStyle name="Input 25 2 9 2" xfId="3837" xr:uid="{00000000-0005-0000-0000-0000E3170000}"/>
    <cellStyle name="Input 25 2 9 2 2" xfId="7407" xr:uid="{00000000-0005-0000-0000-0000E4170000}"/>
    <cellStyle name="Input 25 2 9 2 3" xfId="9369" xr:uid="{00000000-0005-0000-0000-0000E5170000}"/>
    <cellStyle name="Input 25 2 9 2 4" xfId="10664" xr:uid="{00000000-0005-0000-0000-0000E6170000}"/>
    <cellStyle name="Input 25 2 9 3" xfId="5969" xr:uid="{00000000-0005-0000-0000-0000E7170000}"/>
    <cellStyle name="Input 25 2 9 4" xfId="5249" xr:uid="{00000000-0005-0000-0000-0000E8170000}"/>
    <cellStyle name="Input 25 2 9 5" xfId="11745" xr:uid="{00000000-0005-0000-0000-0000E9170000}"/>
    <cellStyle name="Input 25 3" xfId="1528" xr:uid="{00000000-0005-0000-0000-0000EA170000}"/>
    <cellStyle name="Input 25 3 2" xfId="3012" xr:uid="{00000000-0005-0000-0000-0000EB170000}"/>
    <cellStyle name="Input 25 3 2 2" xfId="6589" xr:uid="{00000000-0005-0000-0000-0000EC170000}"/>
    <cellStyle name="Input 25 3 2 3" xfId="8590" xr:uid="{00000000-0005-0000-0000-0000ED170000}"/>
    <cellStyle name="Input 25 3 2 4" xfId="9913" xr:uid="{00000000-0005-0000-0000-0000EE170000}"/>
    <cellStyle name="Input 25 3 3" xfId="5125" xr:uid="{00000000-0005-0000-0000-0000EF170000}"/>
    <cellStyle name="Input 25 3 4" xfId="8664" xr:uid="{00000000-0005-0000-0000-0000F0170000}"/>
    <cellStyle name="Input 25 3 5" xfId="10995" xr:uid="{00000000-0005-0000-0000-0000F1170000}"/>
    <cellStyle name="Input 25 4" xfId="1389" xr:uid="{00000000-0005-0000-0000-0000F2170000}"/>
    <cellStyle name="Input 25 4 2" xfId="2885" xr:uid="{00000000-0005-0000-0000-0000F3170000}"/>
    <cellStyle name="Input 25 4 2 2" xfId="6464" xr:uid="{00000000-0005-0000-0000-0000F4170000}"/>
    <cellStyle name="Input 25 4 2 3" xfId="8465" xr:uid="{00000000-0005-0000-0000-0000F5170000}"/>
    <cellStyle name="Input 25 4 2 4" xfId="9790" xr:uid="{00000000-0005-0000-0000-0000F6170000}"/>
    <cellStyle name="Input 25 4 3" xfId="4987" xr:uid="{00000000-0005-0000-0000-0000F7170000}"/>
    <cellStyle name="Input 25 4 4" xfId="4333" xr:uid="{00000000-0005-0000-0000-0000F8170000}"/>
    <cellStyle name="Input 25 4 5" xfId="10872" xr:uid="{00000000-0005-0000-0000-0000F9170000}"/>
    <cellStyle name="Input 25 5" xfId="1282" xr:uid="{00000000-0005-0000-0000-0000FA170000}"/>
    <cellStyle name="Input 25 5 2" xfId="2782" xr:uid="{00000000-0005-0000-0000-0000FB170000}"/>
    <cellStyle name="Input 25 5 2 2" xfId="6361" xr:uid="{00000000-0005-0000-0000-0000FC170000}"/>
    <cellStyle name="Input 25 5 2 3" xfId="8369" xr:uid="{00000000-0005-0000-0000-0000FD170000}"/>
    <cellStyle name="Input 25 5 2 4" xfId="9694" xr:uid="{00000000-0005-0000-0000-0000FE170000}"/>
    <cellStyle name="Input 25 5 3" xfId="4880" xr:uid="{00000000-0005-0000-0000-0000FF170000}"/>
    <cellStyle name="Input 25 5 4" xfId="8113" xr:uid="{00000000-0005-0000-0000-000000180000}"/>
    <cellStyle name="Input 25 5 5" xfId="4254" xr:uid="{00000000-0005-0000-0000-000001180000}"/>
    <cellStyle name="Input 25 6" xfId="2590" xr:uid="{00000000-0005-0000-0000-000002180000}"/>
    <cellStyle name="Input 25 6 2" xfId="6178" xr:uid="{00000000-0005-0000-0000-000003180000}"/>
    <cellStyle name="Input 25 6 3" xfId="8204" xr:uid="{00000000-0005-0000-0000-000004180000}"/>
    <cellStyle name="Input 25 6 4" xfId="9555" xr:uid="{00000000-0005-0000-0000-000005180000}"/>
    <cellStyle name="Input 25 7" xfId="4494" xr:uid="{00000000-0005-0000-0000-000006180000}"/>
    <cellStyle name="Input 25 8" xfId="4755" xr:uid="{00000000-0005-0000-0000-000007180000}"/>
    <cellStyle name="Input 25 9" xfId="4294" xr:uid="{00000000-0005-0000-0000-000008180000}"/>
    <cellStyle name="Input 3" xfId="881" xr:uid="{00000000-0005-0000-0000-000009180000}"/>
    <cellStyle name="Input 3 2" xfId="1195" xr:uid="{00000000-0005-0000-0000-00000A180000}"/>
    <cellStyle name="Input 3 2 10" xfId="2451" xr:uid="{00000000-0005-0000-0000-00000B180000}"/>
    <cellStyle name="Input 3 2 10 2" xfId="3906" xr:uid="{00000000-0005-0000-0000-00000C180000}"/>
    <cellStyle name="Input 3 2 10 2 2" xfId="7476" xr:uid="{00000000-0005-0000-0000-00000D180000}"/>
    <cellStyle name="Input 3 2 10 2 3" xfId="9436" xr:uid="{00000000-0005-0000-0000-00000E180000}"/>
    <cellStyle name="Input 3 2 10 2 4" xfId="10733" xr:uid="{00000000-0005-0000-0000-00000F180000}"/>
    <cellStyle name="Input 3 2 10 3" xfId="6039" xr:uid="{00000000-0005-0000-0000-000010180000}"/>
    <cellStyle name="Input 3 2 10 4" xfId="4034" xr:uid="{00000000-0005-0000-0000-000011180000}"/>
    <cellStyle name="Input 3 2 10 5" xfId="11815" xr:uid="{00000000-0005-0000-0000-000012180000}"/>
    <cellStyle name="Input 3 2 11" xfId="2504" xr:uid="{00000000-0005-0000-0000-000013180000}"/>
    <cellStyle name="Input 3 2 11 2" xfId="3959" xr:uid="{00000000-0005-0000-0000-000014180000}"/>
    <cellStyle name="Input 3 2 11 2 2" xfId="7529" xr:uid="{00000000-0005-0000-0000-000015180000}"/>
    <cellStyle name="Input 3 2 11 2 3" xfId="9489" xr:uid="{00000000-0005-0000-0000-000016180000}"/>
    <cellStyle name="Input 3 2 11 2 4" xfId="10786" xr:uid="{00000000-0005-0000-0000-000017180000}"/>
    <cellStyle name="Input 3 2 11 3" xfId="6092" xr:uid="{00000000-0005-0000-0000-000018180000}"/>
    <cellStyle name="Input 3 2 11 4" xfId="4031" xr:uid="{00000000-0005-0000-0000-000019180000}"/>
    <cellStyle name="Input 3 2 11 5" xfId="11868" xr:uid="{00000000-0005-0000-0000-00001A180000}"/>
    <cellStyle name="Input 3 2 12" xfId="2710" xr:uid="{00000000-0005-0000-0000-00001B180000}"/>
    <cellStyle name="Input 3 2 12 2" xfId="6293" xr:uid="{00000000-0005-0000-0000-00001C180000}"/>
    <cellStyle name="Input 3 2 12 3" xfId="8307" xr:uid="{00000000-0005-0000-0000-00001D180000}"/>
    <cellStyle name="Input 3 2 12 4" xfId="9645" xr:uid="{00000000-0005-0000-0000-00001E180000}"/>
    <cellStyle name="Input 3 2 13" xfId="4794" xr:uid="{00000000-0005-0000-0000-00001F180000}"/>
    <cellStyle name="Input 3 2 14" xfId="4163" xr:uid="{00000000-0005-0000-0000-000020180000}"/>
    <cellStyle name="Input 3 2 15" xfId="8092" xr:uid="{00000000-0005-0000-0000-000021180000}"/>
    <cellStyle name="Input 3 2 2" xfId="1742" xr:uid="{00000000-0005-0000-0000-000022180000}"/>
    <cellStyle name="Input 3 2 2 2" xfId="3219" xr:uid="{00000000-0005-0000-0000-000023180000}"/>
    <cellStyle name="Input 3 2 2 2 2" xfId="6792" xr:uid="{00000000-0005-0000-0000-000024180000}"/>
    <cellStyle name="Input 3 2 2 2 3" xfId="8770" xr:uid="{00000000-0005-0000-0000-000025180000}"/>
    <cellStyle name="Input 3 2 2 2 4" xfId="10072" xr:uid="{00000000-0005-0000-0000-000026180000}"/>
    <cellStyle name="Input 3 2 2 3" xfId="5334" xr:uid="{00000000-0005-0000-0000-000027180000}"/>
    <cellStyle name="Input 3 2 2 4" xfId="4189" xr:uid="{00000000-0005-0000-0000-000028180000}"/>
    <cellStyle name="Input 3 2 2 5" xfId="11149" xr:uid="{00000000-0005-0000-0000-000029180000}"/>
    <cellStyle name="Input 3 2 3" xfId="1911" xr:uid="{00000000-0005-0000-0000-00002A180000}"/>
    <cellStyle name="Input 3 2 3 2" xfId="3375" xr:uid="{00000000-0005-0000-0000-00002B180000}"/>
    <cellStyle name="Input 3 2 3 2 2" xfId="6945" xr:uid="{00000000-0005-0000-0000-00002C180000}"/>
    <cellStyle name="Input 3 2 3 2 3" xfId="8911" xr:uid="{00000000-0005-0000-0000-00002D180000}"/>
    <cellStyle name="Input 3 2 3 2 4" xfId="10202" xr:uid="{00000000-0005-0000-0000-00002E180000}"/>
    <cellStyle name="Input 3 2 3 3" xfId="5499" xr:uid="{00000000-0005-0000-0000-00002F180000}"/>
    <cellStyle name="Input 3 2 3 4" xfId="4089" xr:uid="{00000000-0005-0000-0000-000030180000}"/>
    <cellStyle name="Input 3 2 3 5" xfId="11280" xr:uid="{00000000-0005-0000-0000-000031180000}"/>
    <cellStyle name="Input 3 2 4" xfId="1983" xr:uid="{00000000-0005-0000-0000-000032180000}"/>
    <cellStyle name="Input 3 2 4 2" xfId="3446" xr:uid="{00000000-0005-0000-0000-000033180000}"/>
    <cellStyle name="Input 3 2 4 2 2" xfId="7016" xr:uid="{00000000-0005-0000-0000-000034180000}"/>
    <cellStyle name="Input 3 2 4 2 3" xfId="8982" xr:uid="{00000000-0005-0000-0000-000035180000}"/>
    <cellStyle name="Input 3 2 4 2 4" xfId="10273" xr:uid="{00000000-0005-0000-0000-000036180000}"/>
    <cellStyle name="Input 3 2 4 3" xfId="5571" xr:uid="{00000000-0005-0000-0000-000037180000}"/>
    <cellStyle name="Input 3 2 4 4" xfId="7951" xr:uid="{00000000-0005-0000-0000-000038180000}"/>
    <cellStyle name="Input 3 2 4 5" xfId="11351" xr:uid="{00000000-0005-0000-0000-000039180000}"/>
    <cellStyle name="Input 3 2 5" xfId="2049" xr:uid="{00000000-0005-0000-0000-00003A180000}"/>
    <cellStyle name="Input 3 2 5 2" xfId="3510" xr:uid="{00000000-0005-0000-0000-00003B180000}"/>
    <cellStyle name="Input 3 2 5 2 2" xfId="7080" xr:uid="{00000000-0005-0000-0000-00003C180000}"/>
    <cellStyle name="Input 3 2 5 2 3" xfId="9046" xr:uid="{00000000-0005-0000-0000-00003D180000}"/>
    <cellStyle name="Input 3 2 5 2 4" xfId="10337" xr:uid="{00000000-0005-0000-0000-00003E180000}"/>
    <cellStyle name="Input 3 2 5 3" xfId="5637" xr:uid="{00000000-0005-0000-0000-00003F180000}"/>
    <cellStyle name="Input 3 2 5 4" xfId="7618" xr:uid="{00000000-0005-0000-0000-000040180000}"/>
    <cellStyle name="Input 3 2 5 5" xfId="11416" xr:uid="{00000000-0005-0000-0000-000041180000}"/>
    <cellStyle name="Input 3 2 6" xfId="2113" xr:uid="{00000000-0005-0000-0000-000042180000}"/>
    <cellStyle name="Input 3 2 6 2" xfId="3572" xr:uid="{00000000-0005-0000-0000-000043180000}"/>
    <cellStyle name="Input 3 2 6 2 2" xfId="7142" xr:uid="{00000000-0005-0000-0000-000044180000}"/>
    <cellStyle name="Input 3 2 6 2 3" xfId="9107" xr:uid="{00000000-0005-0000-0000-000045180000}"/>
    <cellStyle name="Input 3 2 6 2 4" xfId="10399" xr:uid="{00000000-0005-0000-0000-000046180000}"/>
    <cellStyle name="Input 3 2 6 3" xfId="5701" xr:uid="{00000000-0005-0000-0000-000047180000}"/>
    <cellStyle name="Input 3 2 6 4" xfId="4454" xr:uid="{00000000-0005-0000-0000-000048180000}"/>
    <cellStyle name="Input 3 2 6 5" xfId="11479" xr:uid="{00000000-0005-0000-0000-000049180000}"/>
    <cellStyle name="Input 3 2 7" xfId="2186" xr:uid="{00000000-0005-0000-0000-00004A180000}"/>
    <cellStyle name="Input 3 2 7 2" xfId="3645" xr:uid="{00000000-0005-0000-0000-00004B180000}"/>
    <cellStyle name="Input 3 2 7 2 2" xfId="7215" xr:uid="{00000000-0005-0000-0000-00004C180000}"/>
    <cellStyle name="Input 3 2 7 2 3" xfId="9180" xr:uid="{00000000-0005-0000-0000-00004D180000}"/>
    <cellStyle name="Input 3 2 7 2 4" xfId="10472" xr:uid="{00000000-0005-0000-0000-00004E180000}"/>
    <cellStyle name="Input 3 2 7 3" xfId="5774" xr:uid="{00000000-0005-0000-0000-00004F180000}"/>
    <cellStyle name="Input 3 2 7 4" xfId="5142" xr:uid="{00000000-0005-0000-0000-000050180000}"/>
    <cellStyle name="Input 3 2 7 5" xfId="11552" xr:uid="{00000000-0005-0000-0000-000051180000}"/>
    <cellStyle name="Input 3 2 8" xfId="2290" xr:uid="{00000000-0005-0000-0000-000052180000}"/>
    <cellStyle name="Input 3 2 8 2" xfId="3747" xr:uid="{00000000-0005-0000-0000-000053180000}"/>
    <cellStyle name="Input 3 2 8 2 2" xfId="7317" xr:uid="{00000000-0005-0000-0000-000054180000}"/>
    <cellStyle name="Input 3 2 8 2 3" xfId="9280" xr:uid="{00000000-0005-0000-0000-000055180000}"/>
    <cellStyle name="Input 3 2 8 2 4" xfId="10574" xr:uid="{00000000-0005-0000-0000-000056180000}"/>
    <cellStyle name="Input 3 2 8 3" xfId="5878" xr:uid="{00000000-0005-0000-0000-000057180000}"/>
    <cellStyle name="Input 3 2 8 4" xfId="4554" xr:uid="{00000000-0005-0000-0000-000058180000}"/>
    <cellStyle name="Input 3 2 8 5" xfId="11655" xr:uid="{00000000-0005-0000-0000-000059180000}"/>
    <cellStyle name="Input 3 2 9" xfId="2382" xr:uid="{00000000-0005-0000-0000-00005A180000}"/>
    <cellStyle name="Input 3 2 9 2" xfId="3838" xr:uid="{00000000-0005-0000-0000-00005B180000}"/>
    <cellStyle name="Input 3 2 9 2 2" xfId="7408" xr:uid="{00000000-0005-0000-0000-00005C180000}"/>
    <cellStyle name="Input 3 2 9 2 3" xfId="9370" xr:uid="{00000000-0005-0000-0000-00005D180000}"/>
    <cellStyle name="Input 3 2 9 2 4" xfId="10665" xr:uid="{00000000-0005-0000-0000-00005E180000}"/>
    <cellStyle name="Input 3 2 9 3" xfId="5970" xr:uid="{00000000-0005-0000-0000-00005F180000}"/>
    <cellStyle name="Input 3 2 9 4" xfId="6709" xr:uid="{00000000-0005-0000-0000-000060180000}"/>
    <cellStyle name="Input 3 2 9 5" xfId="11746" xr:uid="{00000000-0005-0000-0000-000061180000}"/>
    <cellStyle name="Input 3 3" xfId="1529" xr:uid="{00000000-0005-0000-0000-000062180000}"/>
    <cellStyle name="Input 3 3 2" xfId="3013" xr:uid="{00000000-0005-0000-0000-000063180000}"/>
    <cellStyle name="Input 3 3 2 2" xfId="6590" xr:uid="{00000000-0005-0000-0000-000064180000}"/>
    <cellStyle name="Input 3 3 2 3" xfId="8591" xr:uid="{00000000-0005-0000-0000-000065180000}"/>
    <cellStyle name="Input 3 3 2 4" xfId="9914" xr:uid="{00000000-0005-0000-0000-000066180000}"/>
    <cellStyle name="Input 3 3 3" xfId="5126" xr:uid="{00000000-0005-0000-0000-000067180000}"/>
    <cellStyle name="Input 3 3 4" xfId="7729" xr:uid="{00000000-0005-0000-0000-000068180000}"/>
    <cellStyle name="Input 3 3 5" xfId="10996" xr:uid="{00000000-0005-0000-0000-000069180000}"/>
    <cellStyle name="Input 3 4" xfId="1388" xr:uid="{00000000-0005-0000-0000-00006A180000}"/>
    <cellStyle name="Input 3 4 2" xfId="2884" xr:uid="{00000000-0005-0000-0000-00006B180000}"/>
    <cellStyle name="Input 3 4 2 2" xfId="6463" xr:uid="{00000000-0005-0000-0000-00006C180000}"/>
    <cellStyle name="Input 3 4 2 3" xfId="8464" xr:uid="{00000000-0005-0000-0000-00006D180000}"/>
    <cellStyle name="Input 3 4 2 4" xfId="9789" xr:uid="{00000000-0005-0000-0000-00006E180000}"/>
    <cellStyle name="Input 3 4 3" xfId="4986" xr:uid="{00000000-0005-0000-0000-00006F180000}"/>
    <cellStyle name="Input 3 4 4" xfId="4332" xr:uid="{00000000-0005-0000-0000-000070180000}"/>
    <cellStyle name="Input 3 4 5" xfId="10871" xr:uid="{00000000-0005-0000-0000-000071180000}"/>
    <cellStyle name="Input 3 5" xfId="1644" xr:uid="{00000000-0005-0000-0000-000072180000}"/>
    <cellStyle name="Input 3 5 2" xfId="3123" xr:uid="{00000000-0005-0000-0000-000073180000}"/>
    <cellStyle name="Input 3 5 2 2" xfId="6699" xr:uid="{00000000-0005-0000-0000-000074180000}"/>
    <cellStyle name="Input 3 5 2 3" xfId="8686" xr:uid="{00000000-0005-0000-0000-000075180000}"/>
    <cellStyle name="Input 3 5 2 4" xfId="9999" xr:uid="{00000000-0005-0000-0000-000076180000}"/>
    <cellStyle name="Input 3 5 3" xfId="5238" xr:uid="{00000000-0005-0000-0000-000077180000}"/>
    <cellStyle name="Input 3 5 4" xfId="8076" xr:uid="{00000000-0005-0000-0000-000078180000}"/>
    <cellStyle name="Input 3 5 5" xfId="11077" xr:uid="{00000000-0005-0000-0000-000079180000}"/>
    <cellStyle name="Input 3 6" xfId="2591" xr:uid="{00000000-0005-0000-0000-00007A180000}"/>
    <cellStyle name="Input 3 6 2" xfId="6179" xr:uid="{00000000-0005-0000-0000-00007B180000}"/>
    <cellStyle name="Input 3 6 3" xfId="8205" xr:uid="{00000000-0005-0000-0000-00007C180000}"/>
    <cellStyle name="Input 3 6 4" xfId="9556" xr:uid="{00000000-0005-0000-0000-00007D180000}"/>
    <cellStyle name="Input 3 7" xfId="4495" xr:uid="{00000000-0005-0000-0000-00007E180000}"/>
    <cellStyle name="Input 3 8" xfId="4756" xr:uid="{00000000-0005-0000-0000-00007F180000}"/>
    <cellStyle name="Input 3 9" xfId="4295" xr:uid="{00000000-0005-0000-0000-000080180000}"/>
    <cellStyle name="Input 4" xfId="882" xr:uid="{00000000-0005-0000-0000-000081180000}"/>
    <cellStyle name="Input 4 2" xfId="1196" xr:uid="{00000000-0005-0000-0000-000082180000}"/>
    <cellStyle name="Input 4 2 10" xfId="2452" xr:uid="{00000000-0005-0000-0000-000083180000}"/>
    <cellStyle name="Input 4 2 10 2" xfId="3907" xr:uid="{00000000-0005-0000-0000-000084180000}"/>
    <cellStyle name="Input 4 2 10 2 2" xfId="7477" xr:uid="{00000000-0005-0000-0000-000085180000}"/>
    <cellStyle name="Input 4 2 10 2 3" xfId="9437" xr:uid="{00000000-0005-0000-0000-000086180000}"/>
    <cellStyle name="Input 4 2 10 2 4" xfId="10734" xr:uid="{00000000-0005-0000-0000-000087180000}"/>
    <cellStyle name="Input 4 2 10 3" xfId="6040" xr:uid="{00000000-0005-0000-0000-000088180000}"/>
    <cellStyle name="Input 4 2 10 4" xfId="4584" xr:uid="{00000000-0005-0000-0000-000089180000}"/>
    <cellStyle name="Input 4 2 10 5" xfId="11816" xr:uid="{00000000-0005-0000-0000-00008A180000}"/>
    <cellStyle name="Input 4 2 11" xfId="2505" xr:uid="{00000000-0005-0000-0000-00008B180000}"/>
    <cellStyle name="Input 4 2 11 2" xfId="3960" xr:uid="{00000000-0005-0000-0000-00008C180000}"/>
    <cellStyle name="Input 4 2 11 2 2" xfId="7530" xr:uid="{00000000-0005-0000-0000-00008D180000}"/>
    <cellStyle name="Input 4 2 11 2 3" xfId="9490" xr:uid="{00000000-0005-0000-0000-00008E180000}"/>
    <cellStyle name="Input 4 2 11 2 4" xfId="10787" xr:uid="{00000000-0005-0000-0000-00008F180000}"/>
    <cellStyle name="Input 4 2 11 3" xfId="6093" xr:uid="{00000000-0005-0000-0000-000090180000}"/>
    <cellStyle name="Input 4 2 11 4" xfId="4053" xr:uid="{00000000-0005-0000-0000-000091180000}"/>
    <cellStyle name="Input 4 2 11 5" xfId="11869" xr:uid="{00000000-0005-0000-0000-000092180000}"/>
    <cellStyle name="Input 4 2 12" xfId="2711" xr:uid="{00000000-0005-0000-0000-000093180000}"/>
    <cellStyle name="Input 4 2 12 2" xfId="6294" xr:uid="{00000000-0005-0000-0000-000094180000}"/>
    <cellStyle name="Input 4 2 12 3" xfId="8308" xr:uid="{00000000-0005-0000-0000-000095180000}"/>
    <cellStyle name="Input 4 2 12 4" xfId="9646" xr:uid="{00000000-0005-0000-0000-000096180000}"/>
    <cellStyle name="Input 4 2 13" xfId="4795" xr:uid="{00000000-0005-0000-0000-000097180000}"/>
    <cellStyle name="Input 4 2 14" xfId="4162" xr:uid="{00000000-0005-0000-0000-000098180000}"/>
    <cellStyle name="Input 4 2 15" xfId="8050" xr:uid="{00000000-0005-0000-0000-000099180000}"/>
    <cellStyle name="Input 4 2 2" xfId="1743" xr:uid="{00000000-0005-0000-0000-00009A180000}"/>
    <cellStyle name="Input 4 2 2 2" xfId="3220" xr:uid="{00000000-0005-0000-0000-00009B180000}"/>
    <cellStyle name="Input 4 2 2 2 2" xfId="6793" xr:uid="{00000000-0005-0000-0000-00009C180000}"/>
    <cellStyle name="Input 4 2 2 2 3" xfId="8771" xr:uid="{00000000-0005-0000-0000-00009D180000}"/>
    <cellStyle name="Input 4 2 2 2 4" xfId="10073" xr:uid="{00000000-0005-0000-0000-00009E180000}"/>
    <cellStyle name="Input 4 2 2 3" xfId="5335" xr:uid="{00000000-0005-0000-0000-00009F180000}"/>
    <cellStyle name="Input 4 2 2 4" xfId="4188" xr:uid="{00000000-0005-0000-0000-0000A0180000}"/>
    <cellStyle name="Input 4 2 2 5" xfId="11150" xr:uid="{00000000-0005-0000-0000-0000A1180000}"/>
    <cellStyle name="Input 4 2 3" xfId="1912" xr:uid="{00000000-0005-0000-0000-0000A2180000}"/>
    <cellStyle name="Input 4 2 3 2" xfId="3376" xr:uid="{00000000-0005-0000-0000-0000A3180000}"/>
    <cellStyle name="Input 4 2 3 2 2" xfId="6946" xr:uid="{00000000-0005-0000-0000-0000A4180000}"/>
    <cellStyle name="Input 4 2 3 2 3" xfId="8912" xr:uid="{00000000-0005-0000-0000-0000A5180000}"/>
    <cellStyle name="Input 4 2 3 2 4" xfId="10203" xr:uid="{00000000-0005-0000-0000-0000A6180000}"/>
    <cellStyle name="Input 4 2 3 3" xfId="5500" xr:uid="{00000000-0005-0000-0000-0000A7180000}"/>
    <cellStyle name="Input 4 2 3 4" xfId="7721" xr:uid="{00000000-0005-0000-0000-0000A8180000}"/>
    <cellStyle name="Input 4 2 3 5" xfId="11281" xr:uid="{00000000-0005-0000-0000-0000A9180000}"/>
    <cellStyle name="Input 4 2 4" xfId="1984" xr:uid="{00000000-0005-0000-0000-0000AA180000}"/>
    <cellStyle name="Input 4 2 4 2" xfId="3447" xr:uid="{00000000-0005-0000-0000-0000AB180000}"/>
    <cellStyle name="Input 4 2 4 2 2" xfId="7017" xr:uid="{00000000-0005-0000-0000-0000AC180000}"/>
    <cellStyle name="Input 4 2 4 2 3" xfId="8983" xr:uid="{00000000-0005-0000-0000-0000AD180000}"/>
    <cellStyle name="Input 4 2 4 2 4" xfId="10274" xr:uid="{00000000-0005-0000-0000-0000AE180000}"/>
    <cellStyle name="Input 4 2 4 3" xfId="5572" xr:uid="{00000000-0005-0000-0000-0000AF180000}"/>
    <cellStyle name="Input 4 2 4 4" xfId="7623" xr:uid="{00000000-0005-0000-0000-0000B0180000}"/>
    <cellStyle name="Input 4 2 4 5" xfId="11352" xr:uid="{00000000-0005-0000-0000-0000B1180000}"/>
    <cellStyle name="Input 4 2 5" xfId="2050" xr:uid="{00000000-0005-0000-0000-0000B2180000}"/>
    <cellStyle name="Input 4 2 5 2" xfId="3511" xr:uid="{00000000-0005-0000-0000-0000B3180000}"/>
    <cellStyle name="Input 4 2 5 2 2" xfId="7081" xr:uid="{00000000-0005-0000-0000-0000B4180000}"/>
    <cellStyle name="Input 4 2 5 2 3" xfId="9047" xr:uid="{00000000-0005-0000-0000-0000B5180000}"/>
    <cellStyle name="Input 4 2 5 2 4" xfId="10338" xr:uid="{00000000-0005-0000-0000-0000B6180000}"/>
    <cellStyle name="Input 4 2 5 3" xfId="5638" xr:uid="{00000000-0005-0000-0000-0000B7180000}"/>
    <cellStyle name="Input 4 2 5 4" xfId="8064" xr:uid="{00000000-0005-0000-0000-0000B8180000}"/>
    <cellStyle name="Input 4 2 5 5" xfId="11417" xr:uid="{00000000-0005-0000-0000-0000B9180000}"/>
    <cellStyle name="Input 4 2 6" xfId="2114" xr:uid="{00000000-0005-0000-0000-0000BA180000}"/>
    <cellStyle name="Input 4 2 6 2" xfId="3573" xr:uid="{00000000-0005-0000-0000-0000BB180000}"/>
    <cellStyle name="Input 4 2 6 2 2" xfId="7143" xr:uid="{00000000-0005-0000-0000-0000BC180000}"/>
    <cellStyle name="Input 4 2 6 2 3" xfId="9108" xr:uid="{00000000-0005-0000-0000-0000BD180000}"/>
    <cellStyle name="Input 4 2 6 2 4" xfId="10400" xr:uid="{00000000-0005-0000-0000-0000BE180000}"/>
    <cellStyle name="Input 4 2 6 3" xfId="5702" xr:uid="{00000000-0005-0000-0000-0000BF180000}"/>
    <cellStyle name="Input 4 2 6 4" xfId="5001" xr:uid="{00000000-0005-0000-0000-0000C0180000}"/>
    <cellStyle name="Input 4 2 6 5" xfId="11480" xr:uid="{00000000-0005-0000-0000-0000C1180000}"/>
    <cellStyle name="Input 4 2 7" xfId="2187" xr:uid="{00000000-0005-0000-0000-0000C2180000}"/>
    <cellStyle name="Input 4 2 7 2" xfId="3646" xr:uid="{00000000-0005-0000-0000-0000C3180000}"/>
    <cellStyle name="Input 4 2 7 2 2" xfId="7216" xr:uid="{00000000-0005-0000-0000-0000C4180000}"/>
    <cellStyle name="Input 4 2 7 2 3" xfId="9181" xr:uid="{00000000-0005-0000-0000-0000C5180000}"/>
    <cellStyle name="Input 4 2 7 2 4" xfId="10473" xr:uid="{00000000-0005-0000-0000-0000C6180000}"/>
    <cellStyle name="Input 4 2 7 3" xfId="5775" xr:uid="{00000000-0005-0000-0000-0000C7180000}"/>
    <cellStyle name="Input 4 2 7 4" xfId="6606" xr:uid="{00000000-0005-0000-0000-0000C8180000}"/>
    <cellStyle name="Input 4 2 7 5" xfId="11553" xr:uid="{00000000-0005-0000-0000-0000C9180000}"/>
    <cellStyle name="Input 4 2 8" xfId="2291" xr:uid="{00000000-0005-0000-0000-0000CA180000}"/>
    <cellStyle name="Input 4 2 8 2" xfId="3748" xr:uid="{00000000-0005-0000-0000-0000CB180000}"/>
    <cellStyle name="Input 4 2 8 2 2" xfId="7318" xr:uid="{00000000-0005-0000-0000-0000CC180000}"/>
    <cellStyle name="Input 4 2 8 2 3" xfId="9281" xr:uid="{00000000-0005-0000-0000-0000CD180000}"/>
    <cellStyle name="Input 4 2 8 2 4" xfId="10575" xr:uid="{00000000-0005-0000-0000-0000CE180000}"/>
    <cellStyle name="Input 4 2 8 3" xfId="5879" xr:uid="{00000000-0005-0000-0000-0000CF180000}"/>
    <cellStyle name="Input 4 2 8 4" xfId="4555" xr:uid="{00000000-0005-0000-0000-0000D0180000}"/>
    <cellStyle name="Input 4 2 8 5" xfId="11656" xr:uid="{00000000-0005-0000-0000-0000D1180000}"/>
    <cellStyle name="Input 4 2 9" xfId="2383" xr:uid="{00000000-0005-0000-0000-0000D2180000}"/>
    <cellStyle name="Input 4 2 9 2" xfId="3839" xr:uid="{00000000-0005-0000-0000-0000D3180000}"/>
    <cellStyle name="Input 4 2 9 2 2" xfId="7409" xr:uid="{00000000-0005-0000-0000-0000D4180000}"/>
    <cellStyle name="Input 4 2 9 2 3" xfId="9371" xr:uid="{00000000-0005-0000-0000-0000D5180000}"/>
    <cellStyle name="Input 4 2 9 2 4" xfId="10666" xr:uid="{00000000-0005-0000-0000-0000D6180000}"/>
    <cellStyle name="Input 4 2 9 3" xfId="5971" xr:uid="{00000000-0005-0000-0000-0000D7180000}"/>
    <cellStyle name="Input 4 2 9 4" xfId="6227" xr:uid="{00000000-0005-0000-0000-0000D8180000}"/>
    <cellStyle name="Input 4 2 9 5" xfId="11747" xr:uid="{00000000-0005-0000-0000-0000D9180000}"/>
    <cellStyle name="Input 4 3" xfId="1530" xr:uid="{00000000-0005-0000-0000-0000DA180000}"/>
    <cellStyle name="Input 4 3 2" xfId="3014" xr:uid="{00000000-0005-0000-0000-0000DB180000}"/>
    <cellStyle name="Input 4 3 2 2" xfId="6591" xr:uid="{00000000-0005-0000-0000-0000DC180000}"/>
    <cellStyle name="Input 4 3 2 3" xfId="8592" xr:uid="{00000000-0005-0000-0000-0000DD180000}"/>
    <cellStyle name="Input 4 3 2 4" xfId="9915" xr:uid="{00000000-0005-0000-0000-0000DE180000}"/>
    <cellStyle name="Input 4 3 3" xfId="5127" xr:uid="{00000000-0005-0000-0000-0000DF180000}"/>
    <cellStyle name="Input 4 3 4" xfId="8890" xr:uid="{00000000-0005-0000-0000-0000E0180000}"/>
    <cellStyle name="Input 4 3 5" xfId="10997" xr:uid="{00000000-0005-0000-0000-0000E1180000}"/>
    <cellStyle name="Input 4 4" xfId="1387" xr:uid="{00000000-0005-0000-0000-0000E2180000}"/>
    <cellStyle name="Input 4 4 2" xfId="2883" xr:uid="{00000000-0005-0000-0000-0000E3180000}"/>
    <cellStyle name="Input 4 4 2 2" xfId="6462" xr:uid="{00000000-0005-0000-0000-0000E4180000}"/>
    <cellStyle name="Input 4 4 2 3" xfId="8463" xr:uid="{00000000-0005-0000-0000-0000E5180000}"/>
    <cellStyle name="Input 4 4 2 4" xfId="9788" xr:uid="{00000000-0005-0000-0000-0000E6180000}"/>
    <cellStyle name="Input 4 4 3" xfId="4985" xr:uid="{00000000-0005-0000-0000-0000E7180000}"/>
    <cellStyle name="Input 4 4 4" xfId="4331" xr:uid="{00000000-0005-0000-0000-0000E8180000}"/>
    <cellStyle name="Input 4 4 5" xfId="10870" xr:uid="{00000000-0005-0000-0000-0000E9180000}"/>
    <cellStyle name="Input 4 5" xfId="1329" xr:uid="{00000000-0005-0000-0000-0000EA180000}"/>
    <cellStyle name="Input 4 5 2" xfId="2827" xr:uid="{00000000-0005-0000-0000-0000EB180000}"/>
    <cellStyle name="Input 4 5 2 2" xfId="6406" xr:uid="{00000000-0005-0000-0000-0000EC180000}"/>
    <cellStyle name="Input 4 5 2 3" xfId="8409" xr:uid="{00000000-0005-0000-0000-0000ED180000}"/>
    <cellStyle name="Input 4 5 2 4" xfId="9732" xr:uid="{00000000-0005-0000-0000-0000EE180000}"/>
    <cellStyle name="Input 4 5 3" xfId="4927" xr:uid="{00000000-0005-0000-0000-0000EF180000}"/>
    <cellStyle name="Input 4 5 4" xfId="7956" xr:uid="{00000000-0005-0000-0000-0000F0180000}"/>
    <cellStyle name="Input 4 5 5" xfId="7742" xr:uid="{00000000-0005-0000-0000-0000F1180000}"/>
    <cellStyle name="Input 4 6" xfId="2592" xr:uid="{00000000-0005-0000-0000-0000F2180000}"/>
    <cellStyle name="Input 4 6 2" xfId="6180" xr:uid="{00000000-0005-0000-0000-0000F3180000}"/>
    <cellStyle name="Input 4 6 3" xfId="8206" xr:uid="{00000000-0005-0000-0000-0000F4180000}"/>
    <cellStyle name="Input 4 6 4" xfId="9557" xr:uid="{00000000-0005-0000-0000-0000F5180000}"/>
    <cellStyle name="Input 4 7" xfId="4496" xr:uid="{00000000-0005-0000-0000-0000F6180000}"/>
    <cellStyle name="Input 4 8" xfId="4320" xr:uid="{00000000-0005-0000-0000-0000F7180000}"/>
    <cellStyle name="Input 4 9" xfId="4296" xr:uid="{00000000-0005-0000-0000-0000F8180000}"/>
    <cellStyle name="Input 5" xfId="883" xr:uid="{00000000-0005-0000-0000-0000F9180000}"/>
    <cellStyle name="Input 5 2" xfId="1197" xr:uid="{00000000-0005-0000-0000-0000FA180000}"/>
    <cellStyle name="Input 5 2 10" xfId="2453" xr:uid="{00000000-0005-0000-0000-0000FB180000}"/>
    <cellStyle name="Input 5 2 10 2" xfId="3908" xr:uid="{00000000-0005-0000-0000-0000FC180000}"/>
    <cellStyle name="Input 5 2 10 2 2" xfId="7478" xr:uid="{00000000-0005-0000-0000-0000FD180000}"/>
    <cellStyle name="Input 5 2 10 2 3" xfId="9438" xr:uid="{00000000-0005-0000-0000-0000FE180000}"/>
    <cellStyle name="Input 5 2 10 2 4" xfId="10735" xr:uid="{00000000-0005-0000-0000-0000FF180000}"/>
    <cellStyle name="Input 5 2 10 3" xfId="6041" xr:uid="{00000000-0005-0000-0000-000000190000}"/>
    <cellStyle name="Input 5 2 10 4" xfId="4730" xr:uid="{00000000-0005-0000-0000-000001190000}"/>
    <cellStyle name="Input 5 2 10 5" xfId="11817" xr:uid="{00000000-0005-0000-0000-000002190000}"/>
    <cellStyle name="Input 5 2 11" xfId="2506" xr:uid="{00000000-0005-0000-0000-000003190000}"/>
    <cellStyle name="Input 5 2 11 2" xfId="3961" xr:uid="{00000000-0005-0000-0000-000004190000}"/>
    <cellStyle name="Input 5 2 11 2 2" xfId="7531" xr:uid="{00000000-0005-0000-0000-000005190000}"/>
    <cellStyle name="Input 5 2 11 2 3" xfId="9491" xr:uid="{00000000-0005-0000-0000-000006190000}"/>
    <cellStyle name="Input 5 2 11 2 4" xfId="10788" xr:uid="{00000000-0005-0000-0000-000007190000}"/>
    <cellStyle name="Input 5 2 11 3" xfId="6094" xr:uid="{00000000-0005-0000-0000-000008190000}"/>
    <cellStyle name="Input 5 2 11 4" xfId="4713" xr:uid="{00000000-0005-0000-0000-000009190000}"/>
    <cellStyle name="Input 5 2 11 5" xfId="11870" xr:uid="{00000000-0005-0000-0000-00000A190000}"/>
    <cellStyle name="Input 5 2 12" xfId="2712" xr:uid="{00000000-0005-0000-0000-00000B190000}"/>
    <cellStyle name="Input 5 2 12 2" xfId="6295" xr:uid="{00000000-0005-0000-0000-00000C190000}"/>
    <cellStyle name="Input 5 2 12 3" xfId="8309" xr:uid="{00000000-0005-0000-0000-00000D190000}"/>
    <cellStyle name="Input 5 2 12 4" xfId="9647" xr:uid="{00000000-0005-0000-0000-00000E190000}"/>
    <cellStyle name="Input 5 2 13" xfId="4796" xr:uid="{00000000-0005-0000-0000-00000F190000}"/>
    <cellStyle name="Input 5 2 14" xfId="4161" xr:uid="{00000000-0005-0000-0000-000010190000}"/>
    <cellStyle name="Input 5 2 15" xfId="7995" xr:uid="{00000000-0005-0000-0000-000011190000}"/>
    <cellStyle name="Input 5 2 2" xfId="1744" xr:uid="{00000000-0005-0000-0000-000012190000}"/>
    <cellStyle name="Input 5 2 2 2" xfId="3221" xr:uid="{00000000-0005-0000-0000-000013190000}"/>
    <cellStyle name="Input 5 2 2 2 2" xfId="6794" xr:uid="{00000000-0005-0000-0000-000014190000}"/>
    <cellStyle name="Input 5 2 2 2 3" xfId="8772" xr:uid="{00000000-0005-0000-0000-000015190000}"/>
    <cellStyle name="Input 5 2 2 2 4" xfId="10074" xr:uid="{00000000-0005-0000-0000-000016190000}"/>
    <cellStyle name="Input 5 2 2 3" xfId="5336" xr:uid="{00000000-0005-0000-0000-000017190000}"/>
    <cellStyle name="Input 5 2 2 4" xfId="6889" xr:uid="{00000000-0005-0000-0000-000018190000}"/>
    <cellStyle name="Input 5 2 2 5" xfId="11151" xr:uid="{00000000-0005-0000-0000-000019190000}"/>
    <cellStyle name="Input 5 2 3" xfId="1913" xr:uid="{00000000-0005-0000-0000-00001A190000}"/>
    <cellStyle name="Input 5 2 3 2" xfId="3377" xr:uid="{00000000-0005-0000-0000-00001B190000}"/>
    <cellStyle name="Input 5 2 3 2 2" xfId="6947" xr:uid="{00000000-0005-0000-0000-00001C190000}"/>
    <cellStyle name="Input 5 2 3 2 3" xfId="8913" xr:uid="{00000000-0005-0000-0000-00001D190000}"/>
    <cellStyle name="Input 5 2 3 2 4" xfId="10204" xr:uid="{00000000-0005-0000-0000-00001E190000}"/>
    <cellStyle name="Input 5 2 3 3" xfId="5501" xr:uid="{00000000-0005-0000-0000-00001F190000}"/>
    <cellStyle name="Input 5 2 3 4" xfId="7892" xr:uid="{00000000-0005-0000-0000-000020190000}"/>
    <cellStyle name="Input 5 2 3 5" xfId="11282" xr:uid="{00000000-0005-0000-0000-000021190000}"/>
    <cellStyle name="Input 5 2 4" xfId="1985" xr:uid="{00000000-0005-0000-0000-000022190000}"/>
    <cellStyle name="Input 5 2 4 2" xfId="3448" xr:uid="{00000000-0005-0000-0000-000023190000}"/>
    <cellStyle name="Input 5 2 4 2 2" xfId="7018" xr:uid="{00000000-0005-0000-0000-000024190000}"/>
    <cellStyle name="Input 5 2 4 2 3" xfId="8984" xr:uid="{00000000-0005-0000-0000-000025190000}"/>
    <cellStyle name="Input 5 2 4 2 4" xfId="10275" xr:uid="{00000000-0005-0000-0000-000026190000}"/>
    <cellStyle name="Input 5 2 4 3" xfId="5573" xr:uid="{00000000-0005-0000-0000-000027190000}"/>
    <cellStyle name="Input 5 2 4 4" xfId="8069" xr:uid="{00000000-0005-0000-0000-000028190000}"/>
    <cellStyle name="Input 5 2 4 5" xfId="11353" xr:uid="{00000000-0005-0000-0000-000029190000}"/>
    <cellStyle name="Input 5 2 5" xfId="2051" xr:uid="{00000000-0005-0000-0000-00002A190000}"/>
    <cellStyle name="Input 5 2 5 2" xfId="3512" xr:uid="{00000000-0005-0000-0000-00002B190000}"/>
    <cellStyle name="Input 5 2 5 2 2" xfId="7082" xr:uid="{00000000-0005-0000-0000-00002C190000}"/>
    <cellStyle name="Input 5 2 5 2 3" xfId="9048" xr:uid="{00000000-0005-0000-0000-00002D190000}"/>
    <cellStyle name="Input 5 2 5 2 4" xfId="10339" xr:uid="{00000000-0005-0000-0000-00002E190000}"/>
    <cellStyle name="Input 5 2 5 3" xfId="5639" xr:uid="{00000000-0005-0000-0000-00002F190000}"/>
    <cellStyle name="Input 5 2 5 4" xfId="8020" xr:uid="{00000000-0005-0000-0000-000030190000}"/>
    <cellStyle name="Input 5 2 5 5" xfId="11418" xr:uid="{00000000-0005-0000-0000-000031190000}"/>
    <cellStyle name="Input 5 2 6" xfId="2115" xr:uid="{00000000-0005-0000-0000-000032190000}"/>
    <cellStyle name="Input 5 2 6 2" xfId="3574" xr:uid="{00000000-0005-0000-0000-000033190000}"/>
    <cellStyle name="Input 5 2 6 2 2" xfId="7144" xr:uid="{00000000-0005-0000-0000-000034190000}"/>
    <cellStyle name="Input 5 2 6 2 3" xfId="9109" xr:uid="{00000000-0005-0000-0000-000035190000}"/>
    <cellStyle name="Input 5 2 6 2 4" xfId="10401" xr:uid="{00000000-0005-0000-0000-000036190000}"/>
    <cellStyle name="Input 5 2 6 3" xfId="5703" xr:uid="{00000000-0005-0000-0000-000037190000}"/>
    <cellStyle name="Input 5 2 6 4" xfId="4455" xr:uid="{00000000-0005-0000-0000-000038190000}"/>
    <cellStyle name="Input 5 2 6 5" xfId="11481" xr:uid="{00000000-0005-0000-0000-000039190000}"/>
    <cellStyle name="Input 5 2 7" xfId="2188" xr:uid="{00000000-0005-0000-0000-00003A190000}"/>
    <cellStyle name="Input 5 2 7 2" xfId="3647" xr:uid="{00000000-0005-0000-0000-00003B190000}"/>
    <cellStyle name="Input 5 2 7 2 2" xfId="7217" xr:uid="{00000000-0005-0000-0000-00003C190000}"/>
    <cellStyle name="Input 5 2 7 2 3" xfId="9182" xr:uid="{00000000-0005-0000-0000-00003D190000}"/>
    <cellStyle name="Input 5 2 7 2 4" xfId="10474" xr:uid="{00000000-0005-0000-0000-00003E190000}"/>
    <cellStyle name="Input 5 2 7 3" xfId="5776" xr:uid="{00000000-0005-0000-0000-00003F190000}"/>
    <cellStyle name="Input 5 2 7 4" xfId="5685" xr:uid="{00000000-0005-0000-0000-000040190000}"/>
    <cellStyle name="Input 5 2 7 5" xfId="11554" xr:uid="{00000000-0005-0000-0000-000041190000}"/>
    <cellStyle name="Input 5 2 8" xfId="2292" xr:uid="{00000000-0005-0000-0000-000042190000}"/>
    <cellStyle name="Input 5 2 8 2" xfId="3749" xr:uid="{00000000-0005-0000-0000-000043190000}"/>
    <cellStyle name="Input 5 2 8 2 2" xfId="7319" xr:uid="{00000000-0005-0000-0000-000044190000}"/>
    <cellStyle name="Input 5 2 8 2 3" xfId="9282" xr:uid="{00000000-0005-0000-0000-000045190000}"/>
    <cellStyle name="Input 5 2 8 2 4" xfId="10576" xr:uid="{00000000-0005-0000-0000-000046190000}"/>
    <cellStyle name="Input 5 2 8 3" xfId="5880" xr:uid="{00000000-0005-0000-0000-000047190000}"/>
    <cellStyle name="Input 5 2 8 4" xfId="4556" xr:uid="{00000000-0005-0000-0000-000048190000}"/>
    <cellStyle name="Input 5 2 8 5" xfId="11657" xr:uid="{00000000-0005-0000-0000-000049190000}"/>
    <cellStyle name="Input 5 2 9" xfId="2384" xr:uid="{00000000-0005-0000-0000-00004A190000}"/>
    <cellStyle name="Input 5 2 9 2" xfId="3840" xr:uid="{00000000-0005-0000-0000-00004B190000}"/>
    <cellStyle name="Input 5 2 9 2 2" xfId="7410" xr:uid="{00000000-0005-0000-0000-00004C190000}"/>
    <cellStyle name="Input 5 2 9 2 3" xfId="9372" xr:uid="{00000000-0005-0000-0000-00004D190000}"/>
    <cellStyle name="Input 5 2 9 2 4" xfId="10667" xr:uid="{00000000-0005-0000-0000-00004E190000}"/>
    <cellStyle name="Input 5 2 9 3" xfId="5972" xr:uid="{00000000-0005-0000-0000-00004F190000}"/>
    <cellStyle name="Input 5 2 9 4" xfId="4700" xr:uid="{00000000-0005-0000-0000-000050190000}"/>
    <cellStyle name="Input 5 2 9 5" xfId="11748" xr:uid="{00000000-0005-0000-0000-000051190000}"/>
    <cellStyle name="Input 5 3" xfId="1531" xr:uid="{00000000-0005-0000-0000-000052190000}"/>
    <cellStyle name="Input 5 3 2" xfId="3015" xr:uid="{00000000-0005-0000-0000-000053190000}"/>
    <cellStyle name="Input 5 3 2 2" xfId="6592" xr:uid="{00000000-0005-0000-0000-000054190000}"/>
    <cellStyle name="Input 5 3 2 3" xfId="8593" xr:uid="{00000000-0005-0000-0000-000055190000}"/>
    <cellStyle name="Input 5 3 2 4" xfId="9916" xr:uid="{00000000-0005-0000-0000-000056190000}"/>
    <cellStyle name="Input 5 3 3" xfId="5128" xr:uid="{00000000-0005-0000-0000-000057190000}"/>
    <cellStyle name="Input 5 3 4" xfId="7905" xr:uid="{00000000-0005-0000-0000-000058190000}"/>
    <cellStyle name="Input 5 3 5" xfId="10998" xr:uid="{00000000-0005-0000-0000-000059190000}"/>
    <cellStyle name="Input 5 4" xfId="1386" xr:uid="{00000000-0005-0000-0000-00005A190000}"/>
    <cellStyle name="Input 5 4 2" xfId="2882" xr:uid="{00000000-0005-0000-0000-00005B190000}"/>
    <cellStyle name="Input 5 4 2 2" xfId="6461" xr:uid="{00000000-0005-0000-0000-00005C190000}"/>
    <cellStyle name="Input 5 4 2 3" xfId="8462" xr:uid="{00000000-0005-0000-0000-00005D190000}"/>
    <cellStyle name="Input 5 4 2 4" xfId="9787" xr:uid="{00000000-0005-0000-0000-00005E190000}"/>
    <cellStyle name="Input 5 4 3" xfId="4984" xr:uid="{00000000-0005-0000-0000-00005F190000}"/>
    <cellStyle name="Input 5 4 4" xfId="4330" xr:uid="{00000000-0005-0000-0000-000060190000}"/>
    <cellStyle name="Input 5 4 5" xfId="10869" xr:uid="{00000000-0005-0000-0000-000061190000}"/>
    <cellStyle name="Input 5 5" xfId="1304" xr:uid="{00000000-0005-0000-0000-000062190000}"/>
    <cellStyle name="Input 5 5 2" xfId="2804" xr:uid="{00000000-0005-0000-0000-000063190000}"/>
    <cellStyle name="Input 5 5 2 2" xfId="6383" xr:uid="{00000000-0005-0000-0000-000064190000}"/>
    <cellStyle name="Input 5 5 2 3" xfId="8386" xr:uid="{00000000-0005-0000-0000-000065190000}"/>
    <cellStyle name="Input 5 5 2 4" xfId="9710" xr:uid="{00000000-0005-0000-0000-000066190000}"/>
    <cellStyle name="Input 5 5 3" xfId="4902" xr:uid="{00000000-0005-0000-0000-000067190000}"/>
    <cellStyle name="Input 5 5 4" xfId="7938" xr:uid="{00000000-0005-0000-0000-000068190000}"/>
    <cellStyle name="Input 5 5 5" xfId="4244" xr:uid="{00000000-0005-0000-0000-000069190000}"/>
    <cellStyle name="Input 5 6" xfId="2593" xr:uid="{00000000-0005-0000-0000-00006A190000}"/>
    <cellStyle name="Input 5 6 2" xfId="6181" xr:uid="{00000000-0005-0000-0000-00006B190000}"/>
    <cellStyle name="Input 5 6 3" xfId="8207" xr:uid="{00000000-0005-0000-0000-00006C190000}"/>
    <cellStyle name="Input 5 6 4" xfId="9558" xr:uid="{00000000-0005-0000-0000-00006D190000}"/>
    <cellStyle name="Input 5 7" xfId="4497" xr:uid="{00000000-0005-0000-0000-00006E190000}"/>
    <cellStyle name="Input 5 8" xfId="4319" xr:uid="{00000000-0005-0000-0000-00006F190000}"/>
    <cellStyle name="Input 5 9" xfId="4156" xr:uid="{00000000-0005-0000-0000-000070190000}"/>
    <cellStyle name="Input 6" xfId="884" xr:uid="{00000000-0005-0000-0000-000071190000}"/>
    <cellStyle name="Input 6 2" xfId="1198" xr:uid="{00000000-0005-0000-0000-000072190000}"/>
    <cellStyle name="Input 6 2 10" xfId="2454" xr:uid="{00000000-0005-0000-0000-000073190000}"/>
    <cellStyle name="Input 6 2 10 2" xfId="3909" xr:uid="{00000000-0005-0000-0000-000074190000}"/>
    <cellStyle name="Input 6 2 10 2 2" xfId="7479" xr:uid="{00000000-0005-0000-0000-000075190000}"/>
    <cellStyle name="Input 6 2 10 2 3" xfId="9439" xr:uid="{00000000-0005-0000-0000-000076190000}"/>
    <cellStyle name="Input 6 2 10 2 4" xfId="10736" xr:uid="{00000000-0005-0000-0000-000077190000}"/>
    <cellStyle name="Input 6 2 10 3" xfId="6042" xr:uid="{00000000-0005-0000-0000-000078190000}"/>
    <cellStyle name="Input 6 2 10 4" xfId="5276" xr:uid="{00000000-0005-0000-0000-000079190000}"/>
    <cellStyle name="Input 6 2 10 5" xfId="11818" xr:uid="{00000000-0005-0000-0000-00007A190000}"/>
    <cellStyle name="Input 6 2 11" xfId="2507" xr:uid="{00000000-0005-0000-0000-00007B190000}"/>
    <cellStyle name="Input 6 2 11 2" xfId="3962" xr:uid="{00000000-0005-0000-0000-00007C190000}"/>
    <cellStyle name="Input 6 2 11 2 2" xfId="7532" xr:uid="{00000000-0005-0000-0000-00007D190000}"/>
    <cellStyle name="Input 6 2 11 2 3" xfId="9492" xr:uid="{00000000-0005-0000-0000-00007E190000}"/>
    <cellStyle name="Input 6 2 11 2 4" xfId="10789" xr:uid="{00000000-0005-0000-0000-00007F190000}"/>
    <cellStyle name="Input 6 2 11 3" xfId="6095" xr:uid="{00000000-0005-0000-0000-000080190000}"/>
    <cellStyle name="Input 6 2 11 4" xfId="4864" xr:uid="{00000000-0005-0000-0000-000081190000}"/>
    <cellStyle name="Input 6 2 11 5" xfId="11871" xr:uid="{00000000-0005-0000-0000-000082190000}"/>
    <cellStyle name="Input 6 2 12" xfId="2713" xr:uid="{00000000-0005-0000-0000-000083190000}"/>
    <cellStyle name="Input 6 2 12 2" xfId="6296" xr:uid="{00000000-0005-0000-0000-000084190000}"/>
    <cellStyle name="Input 6 2 12 3" xfId="8310" xr:uid="{00000000-0005-0000-0000-000085190000}"/>
    <cellStyle name="Input 6 2 12 4" xfId="9648" xr:uid="{00000000-0005-0000-0000-000086190000}"/>
    <cellStyle name="Input 6 2 13" xfId="4797" xr:uid="{00000000-0005-0000-0000-000087190000}"/>
    <cellStyle name="Input 6 2 14" xfId="4160" xr:uid="{00000000-0005-0000-0000-000088190000}"/>
    <cellStyle name="Input 6 2 15" xfId="7979" xr:uid="{00000000-0005-0000-0000-000089190000}"/>
    <cellStyle name="Input 6 2 2" xfId="1745" xr:uid="{00000000-0005-0000-0000-00008A190000}"/>
    <cellStyle name="Input 6 2 2 2" xfId="3222" xr:uid="{00000000-0005-0000-0000-00008B190000}"/>
    <cellStyle name="Input 6 2 2 2 2" xfId="6795" xr:uid="{00000000-0005-0000-0000-00008C190000}"/>
    <cellStyle name="Input 6 2 2 2 3" xfId="8773" xr:uid="{00000000-0005-0000-0000-00008D190000}"/>
    <cellStyle name="Input 6 2 2 2 4" xfId="10075" xr:uid="{00000000-0005-0000-0000-00008E190000}"/>
    <cellStyle name="Input 6 2 2 3" xfId="5337" xr:uid="{00000000-0005-0000-0000-00008F190000}"/>
    <cellStyle name="Input 6 2 2 4" xfId="4895" xr:uid="{00000000-0005-0000-0000-000090190000}"/>
    <cellStyle name="Input 6 2 2 5" xfId="11152" xr:uid="{00000000-0005-0000-0000-000091190000}"/>
    <cellStyle name="Input 6 2 3" xfId="1914" xr:uid="{00000000-0005-0000-0000-000092190000}"/>
    <cellStyle name="Input 6 2 3 2" xfId="3378" xr:uid="{00000000-0005-0000-0000-000093190000}"/>
    <cellStyle name="Input 6 2 3 2 2" xfId="6948" xr:uid="{00000000-0005-0000-0000-000094190000}"/>
    <cellStyle name="Input 6 2 3 2 3" xfId="8914" xr:uid="{00000000-0005-0000-0000-000095190000}"/>
    <cellStyle name="Input 6 2 3 2 4" xfId="10205" xr:uid="{00000000-0005-0000-0000-000096190000}"/>
    <cellStyle name="Input 6 2 3 3" xfId="5502" xr:uid="{00000000-0005-0000-0000-000097190000}"/>
    <cellStyle name="Input 6 2 3 4" xfId="7795" xr:uid="{00000000-0005-0000-0000-000098190000}"/>
    <cellStyle name="Input 6 2 3 5" xfId="11283" xr:uid="{00000000-0005-0000-0000-000099190000}"/>
    <cellStyle name="Input 6 2 4" xfId="1986" xr:uid="{00000000-0005-0000-0000-00009A190000}"/>
    <cellStyle name="Input 6 2 4 2" xfId="3449" xr:uid="{00000000-0005-0000-0000-00009B190000}"/>
    <cellStyle name="Input 6 2 4 2 2" xfId="7019" xr:uid="{00000000-0005-0000-0000-00009C190000}"/>
    <cellStyle name="Input 6 2 4 2 3" xfId="8985" xr:uid="{00000000-0005-0000-0000-00009D190000}"/>
    <cellStyle name="Input 6 2 4 2 4" xfId="10276" xr:uid="{00000000-0005-0000-0000-00009E190000}"/>
    <cellStyle name="Input 6 2 4 3" xfId="5574" xr:uid="{00000000-0005-0000-0000-00009F190000}"/>
    <cellStyle name="Input 6 2 4 4" xfId="8025" xr:uid="{00000000-0005-0000-0000-0000A0190000}"/>
    <cellStyle name="Input 6 2 4 5" xfId="11354" xr:uid="{00000000-0005-0000-0000-0000A1190000}"/>
    <cellStyle name="Input 6 2 5" xfId="2052" xr:uid="{00000000-0005-0000-0000-0000A2190000}"/>
    <cellStyle name="Input 6 2 5 2" xfId="3513" xr:uid="{00000000-0005-0000-0000-0000A3190000}"/>
    <cellStyle name="Input 6 2 5 2 2" xfId="7083" xr:uid="{00000000-0005-0000-0000-0000A4190000}"/>
    <cellStyle name="Input 6 2 5 2 3" xfId="9049" xr:uid="{00000000-0005-0000-0000-0000A5190000}"/>
    <cellStyle name="Input 6 2 5 2 4" xfId="10340" xr:uid="{00000000-0005-0000-0000-0000A6190000}"/>
    <cellStyle name="Input 6 2 5 3" xfId="5640" xr:uid="{00000000-0005-0000-0000-0000A7190000}"/>
    <cellStyle name="Input 6 2 5 4" xfId="4065" xr:uid="{00000000-0005-0000-0000-0000A8190000}"/>
    <cellStyle name="Input 6 2 5 5" xfId="11419" xr:uid="{00000000-0005-0000-0000-0000A9190000}"/>
    <cellStyle name="Input 6 2 6" xfId="2116" xr:uid="{00000000-0005-0000-0000-0000AA190000}"/>
    <cellStyle name="Input 6 2 6 2" xfId="3575" xr:uid="{00000000-0005-0000-0000-0000AB190000}"/>
    <cellStyle name="Input 6 2 6 2 2" xfId="7145" xr:uid="{00000000-0005-0000-0000-0000AC190000}"/>
    <cellStyle name="Input 6 2 6 2 3" xfId="9110" xr:uid="{00000000-0005-0000-0000-0000AD190000}"/>
    <cellStyle name="Input 6 2 6 2 4" xfId="10402" xr:uid="{00000000-0005-0000-0000-0000AE190000}"/>
    <cellStyle name="Input 6 2 6 3" xfId="5704" xr:uid="{00000000-0005-0000-0000-0000AF190000}"/>
    <cellStyle name="Input 6 2 6 4" xfId="4925" xr:uid="{00000000-0005-0000-0000-0000B0190000}"/>
    <cellStyle name="Input 6 2 6 5" xfId="11482" xr:uid="{00000000-0005-0000-0000-0000B1190000}"/>
    <cellStyle name="Input 6 2 7" xfId="2189" xr:uid="{00000000-0005-0000-0000-0000B2190000}"/>
    <cellStyle name="Input 6 2 7 2" xfId="3648" xr:uid="{00000000-0005-0000-0000-0000B3190000}"/>
    <cellStyle name="Input 6 2 7 2 2" xfId="7218" xr:uid="{00000000-0005-0000-0000-0000B4190000}"/>
    <cellStyle name="Input 6 2 7 2 3" xfId="9183" xr:uid="{00000000-0005-0000-0000-0000B5190000}"/>
    <cellStyle name="Input 6 2 7 2 4" xfId="10475" xr:uid="{00000000-0005-0000-0000-0000B6190000}"/>
    <cellStyle name="Input 6 2 7 3" xfId="5777" xr:uid="{00000000-0005-0000-0000-0000B7190000}"/>
    <cellStyle name="Input 6 2 7 4" xfId="4023" xr:uid="{00000000-0005-0000-0000-0000B8190000}"/>
    <cellStyle name="Input 6 2 7 5" xfId="11555" xr:uid="{00000000-0005-0000-0000-0000B9190000}"/>
    <cellStyle name="Input 6 2 8" xfId="2293" xr:uid="{00000000-0005-0000-0000-0000BA190000}"/>
    <cellStyle name="Input 6 2 8 2" xfId="3750" xr:uid="{00000000-0005-0000-0000-0000BB190000}"/>
    <cellStyle name="Input 6 2 8 2 2" xfId="7320" xr:uid="{00000000-0005-0000-0000-0000BC190000}"/>
    <cellStyle name="Input 6 2 8 2 3" xfId="9283" xr:uid="{00000000-0005-0000-0000-0000BD190000}"/>
    <cellStyle name="Input 6 2 8 2 4" xfId="10577" xr:uid="{00000000-0005-0000-0000-0000BE190000}"/>
    <cellStyle name="Input 6 2 8 3" xfId="5881" xr:uid="{00000000-0005-0000-0000-0000BF190000}"/>
    <cellStyle name="Input 6 2 8 4" xfId="4557" xr:uid="{00000000-0005-0000-0000-0000C0190000}"/>
    <cellStyle name="Input 6 2 8 5" xfId="11658" xr:uid="{00000000-0005-0000-0000-0000C1190000}"/>
    <cellStyle name="Input 6 2 9" xfId="2385" xr:uid="{00000000-0005-0000-0000-0000C2190000}"/>
    <cellStyle name="Input 6 2 9 2" xfId="3841" xr:uid="{00000000-0005-0000-0000-0000C3190000}"/>
    <cellStyle name="Input 6 2 9 2 2" xfId="7411" xr:uid="{00000000-0005-0000-0000-0000C4190000}"/>
    <cellStyle name="Input 6 2 9 2 3" xfId="9373" xr:uid="{00000000-0005-0000-0000-0000C5190000}"/>
    <cellStyle name="Input 6 2 9 2 4" xfId="10668" xr:uid="{00000000-0005-0000-0000-0000C6190000}"/>
    <cellStyle name="Input 6 2 9 3" xfId="5973" xr:uid="{00000000-0005-0000-0000-0000C7190000}"/>
    <cellStyle name="Input 6 2 9 4" xfId="4701" xr:uid="{00000000-0005-0000-0000-0000C8190000}"/>
    <cellStyle name="Input 6 2 9 5" xfId="11749" xr:uid="{00000000-0005-0000-0000-0000C9190000}"/>
    <cellStyle name="Input 6 3" xfId="1532" xr:uid="{00000000-0005-0000-0000-0000CA190000}"/>
    <cellStyle name="Input 6 3 2" xfId="3016" xr:uid="{00000000-0005-0000-0000-0000CB190000}"/>
    <cellStyle name="Input 6 3 2 2" xfId="6593" xr:uid="{00000000-0005-0000-0000-0000CC190000}"/>
    <cellStyle name="Input 6 3 2 3" xfId="8594" xr:uid="{00000000-0005-0000-0000-0000CD190000}"/>
    <cellStyle name="Input 6 3 2 4" xfId="9917" xr:uid="{00000000-0005-0000-0000-0000CE190000}"/>
    <cellStyle name="Input 6 3 3" xfId="5129" xr:uid="{00000000-0005-0000-0000-0000CF190000}"/>
    <cellStyle name="Input 6 3 4" xfId="8749" xr:uid="{00000000-0005-0000-0000-0000D0190000}"/>
    <cellStyle name="Input 6 3 5" xfId="10999" xr:uid="{00000000-0005-0000-0000-0000D1190000}"/>
    <cellStyle name="Input 6 4" xfId="1385" xr:uid="{00000000-0005-0000-0000-0000D2190000}"/>
    <cellStyle name="Input 6 4 2" xfId="2881" xr:uid="{00000000-0005-0000-0000-0000D3190000}"/>
    <cellStyle name="Input 6 4 2 2" xfId="6460" xr:uid="{00000000-0005-0000-0000-0000D4190000}"/>
    <cellStyle name="Input 6 4 2 3" xfId="8461" xr:uid="{00000000-0005-0000-0000-0000D5190000}"/>
    <cellStyle name="Input 6 4 2 4" xfId="9786" xr:uid="{00000000-0005-0000-0000-0000D6190000}"/>
    <cellStyle name="Input 6 4 3" xfId="4983" xr:uid="{00000000-0005-0000-0000-0000D7190000}"/>
    <cellStyle name="Input 6 4 4" xfId="4329" xr:uid="{00000000-0005-0000-0000-0000D8190000}"/>
    <cellStyle name="Input 6 4 5" xfId="10868" xr:uid="{00000000-0005-0000-0000-0000D9190000}"/>
    <cellStyle name="Input 6 5" xfId="1293" xr:uid="{00000000-0005-0000-0000-0000DA190000}"/>
    <cellStyle name="Input 6 5 2" xfId="2793" xr:uid="{00000000-0005-0000-0000-0000DB190000}"/>
    <cellStyle name="Input 6 5 2 2" xfId="6372" xr:uid="{00000000-0005-0000-0000-0000DC190000}"/>
    <cellStyle name="Input 6 5 2 3" xfId="8378" xr:uid="{00000000-0005-0000-0000-0000DD190000}"/>
    <cellStyle name="Input 6 5 2 4" xfId="9703" xr:uid="{00000000-0005-0000-0000-0000DE190000}"/>
    <cellStyle name="Input 6 5 3" xfId="4891" xr:uid="{00000000-0005-0000-0000-0000DF190000}"/>
    <cellStyle name="Input 6 5 4" xfId="7818" xr:uid="{00000000-0005-0000-0000-0000E0190000}"/>
    <cellStyle name="Input 6 5 5" xfId="8349" xr:uid="{00000000-0005-0000-0000-0000E1190000}"/>
    <cellStyle name="Input 6 6" xfId="2594" xr:uid="{00000000-0005-0000-0000-0000E2190000}"/>
    <cellStyle name="Input 6 6 2" xfId="6182" xr:uid="{00000000-0005-0000-0000-0000E3190000}"/>
    <cellStyle name="Input 6 6 3" xfId="8208" xr:uid="{00000000-0005-0000-0000-0000E4190000}"/>
    <cellStyle name="Input 6 6 4" xfId="9559" xr:uid="{00000000-0005-0000-0000-0000E5190000}"/>
    <cellStyle name="Input 6 7" xfId="4498" xr:uid="{00000000-0005-0000-0000-0000E6190000}"/>
    <cellStyle name="Input 6 8" xfId="4731" xr:uid="{00000000-0005-0000-0000-0000E7190000}"/>
    <cellStyle name="Input 6 9" xfId="776" xr:uid="{00000000-0005-0000-0000-0000E8190000}"/>
    <cellStyle name="Input 7" xfId="885" xr:uid="{00000000-0005-0000-0000-0000E9190000}"/>
    <cellStyle name="Input 7 2" xfId="1199" xr:uid="{00000000-0005-0000-0000-0000EA190000}"/>
    <cellStyle name="Input 7 2 10" xfId="2455" xr:uid="{00000000-0005-0000-0000-0000EB190000}"/>
    <cellStyle name="Input 7 2 10 2" xfId="3910" xr:uid="{00000000-0005-0000-0000-0000EC190000}"/>
    <cellStyle name="Input 7 2 10 2 2" xfId="7480" xr:uid="{00000000-0005-0000-0000-0000ED190000}"/>
    <cellStyle name="Input 7 2 10 2 3" xfId="9440" xr:uid="{00000000-0005-0000-0000-0000EE190000}"/>
    <cellStyle name="Input 7 2 10 2 4" xfId="10737" xr:uid="{00000000-0005-0000-0000-0000EF190000}"/>
    <cellStyle name="Input 7 2 10 3" xfId="6043" xr:uid="{00000000-0005-0000-0000-0000F0190000}"/>
    <cellStyle name="Input 7 2 10 4" xfId="6736" xr:uid="{00000000-0005-0000-0000-0000F1190000}"/>
    <cellStyle name="Input 7 2 10 5" xfId="11819" xr:uid="{00000000-0005-0000-0000-0000F2190000}"/>
    <cellStyle name="Input 7 2 11" xfId="2508" xr:uid="{00000000-0005-0000-0000-0000F3190000}"/>
    <cellStyle name="Input 7 2 11 2" xfId="3963" xr:uid="{00000000-0005-0000-0000-0000F4190000}"/>
    <cellStyle name="Input 7 2 11 2 2" xfId="7533" xr:uid="{00000000-0005-0000-0000-0000F5190000}"/>
    <cellStyle name="Input 7 2 11 2 3" xfId="9493" xr:uid="{00000000-0005-0000-0000-0000F6190000}"/>
    <cellStyle name="Input 7 2 11 2 4" xfId="10790" xr:uid="{00000000-0005-0000-0000-0000F7190000}"/>
    <cellStyle name="Input 7 2 11 3" xfId="6096" xr:uid="{00000000-0005-0000-0000-0000F8190000}"/>
    <cellStyle name="Input 7 2 11 4" xfId="5394" xr:uid="{00000000-0005-0000-0000-0000F9190000}"/>
    <cellStyle name="Input 7 2 11 5" xfId="11872" xr:uid="{00000000-0005-0000-0000-0000FA190000}"/>
    <cellStyle name="Input 7 2 12" xfId="2714" xr:uid="{00000000-0005-0000-0000-0000FB190000}"/>
    <cellStyle name="Input 7 2 12 2" xfId="6297" xr:uid="{00000000-0005-0000-0000-0000FC190000}"/>
    <cellStyle name="Input 7 2 12 3" xfId="8311" xr:uid="{00000000-0005-0000-0000-0000FD190000}"/>
    <cellStyle name="Input 7 2 12 4" xfId="9649" xr:uid="{00000000-0005-0000-0000-0000FE190000}"/>
    <cellStyle name="Input 7 2 13" xfId="4798" xr:uid="{00000000-0005-0000-0000-0000FF190000}"/>
    <cellStyle name="Input 7 2 14" xfId="4159" xr:uid="{00000000-0005-0000-0000-0000001A0000}"/>
    <cellStyle name="Input 7 2 15" xfId="7962" xr:uid="{00000000-0005-0000-0000-0000011A0000}"/>
    <cellStyle name="Input 7 2 2" xfId="1746" xr:uid="{00000000-0005-0000-0000-0000021A0000}"/>
    <cellStyle name="Input 7 2 2 2" xfId="3223" xr:uid="{00000000-0005-0000-0000-0000031A0000}"/>
    <cellStyle name="Input 7 2 2 2 2" xfId="6796" xr:uid="{00000000-0005-0000-0000-0000041A0000}"/>
    <cellStyle name="Input 7 2 2 2 3" xfId="8774" xr:uid="{00000000-0005-0000-0000-0000051A0000}"/>
    <cellStyle name="Input 7 2 2 2 4" xfId="10076" xr:uid="{00000000-0005-0000-0000-0000061A0000}"/>
    <cellStyle name="Input 7 2 2 3" xfId="5338" xr:uid="{00000000-0005-0000-0000-0000071A0000}"/>
    <cellStyle name="Input 7 2 2 4" xfId="4215" xr:uid="{00000000-0005-0000-0000-0000081A0000}"/>
    <cellStyle name="Input 7 2 2 5" xfId="11153" xr:uid="{00000000-0005-0000-0000-0000091A0000}"/>
    <cellStyle name="Input 7 2 3" xfId="1915" xr:uid="{00000000-0005-0000-0000-00000A1A0000}"/>
    <cellStyle name="Input 7 2 3 2" xfId="3379" xr:uid="{00000000-0005-0000-0000-00000B1A0000}"/>
    <cellStyle name="Input 7 2 3 2 2" xfId="6949" xr:uid="{00000000-0005-0000-0000-00000C1A0000}"/>
    <cellStyle name="Input 7 2 3 2 3" xfId="8915" xr:uid="{00000000-0005-0000-0000-00000D1A0000}"/>
    <cellStyle name="Input 7 2 3 2 4" xfId="10206" xr:uid="{00000000-0005-0000-0000-00000E1A0000}"/>
    <cellStyle name="Input 7 2 3 3" xfId="5503" xr:uid="{00000000-0005-0000-0000-00000F1A0000}"/>
    <cellStyle name="Input 7 2 3 4" xfId="8005" xr:uid="{00000000-0005-0000-0000-0000101A0000}"/>
    <cellStyle name="Input 7 2 3 5" xfId="11284" xr:uid="{00000000-0005-0000-0000-0000111A0000}"/>
    <cellStyle name="Input 7 2 4" xfId="1987" xr:uid="{00000000-0005-0000-0000-0000121A0000}"/>
    <cellStyle name="Input 7 2 4 2" xfId="3450" xr:uid="{00000000-0005-0000-0000-0000131A0000}"/>
    <cellStyle name="Input 7 2 4 2 2" xfId="7020" xr:uid="{00000000-0005-0000-0000-0000141A0000}"/>
    <cellStyle name="Input 7 2 4 2 3" xfId="8986" xr:uid="{00000000-0005-0000-0000-0000151A0000}"/>
    <cellStyle name="Input 7 2 4 2 4" xfId="10277" xr:uid="{00000000-0005-0000-0000-0000161A0000}"/>
    <cellStyle name="Input 7 2 4 3" xfId="5575" xr:uid="{00000000-0005-0000-0000-0000171A0000}"/>
    <cellStyle name="Input 7 2 4 4" xfId="7858" xr:uid="{00000000-0005-0000-0000-0000181A0000}"/>
    <cellStyle name="Input 7 2 4 5" xfId="11355" xr:uid="{00000000-0005-0000-0000-0000191A0000}"/>
    <cellStyle name="Input 7 2 5" xfId="2053" xr:uid="{00000000-0005-0000-0000-00001A1A0000}"/>
    <cellStyle name="Input 7 2 5 2" xfId="3514" xr:uid="{00000000-0005-0000-0000-00001B1A0000}"/>
    <cellStyle name="Input 7 2 5 2 2" xfId="7084" xr:uid="{00000000-0005-0000-0000-00001C1A0000}"/>
    <cellStyle name="Input 7 2 5 2 3" xfId="9050" xr:uid="{00000000-0005-0000-0000-00001D1A0000}"/>
    <cellStyle name="Input 7 2 5 2 4" xfId="10341" xr:uid="{00000000-0005-0000-0000-00001E1A0000}"/>
    <cellStyle name="Input 7 2 5 3" xfId="5641" xr:uid="{00000000-0005-0000-0000-00001F1A0000}"/>
    <cellStyle name="Input 7 2 5 4" xfId="7661" xr:uid="{00000000-0005-0000-0000-0000201A0000}"/>
    <cellStyle name="Input 7 2 5 5" xfId="11420" xr:uid="{00000000-0005-0000-0000-0000211A0000}"/>
    <cellStyle name="Input 7 2 6" xfId="2117" xr:uid="{00000000-0005-0000-0000-0000221A0000}"/>
    <cellStyle name="Input 7 2 6 2" xfId="3576" xr:uid="{00000000-0005-0000-0000-0000231A0000}"/>
    <cellStyle name="Input 7 2 6 2 2" xfId="7146" xr:uid="{00000000-0005-0000-0000-0000241A0000}"/>
    <cellStyle name="Input 7 2 6 2 3" xfId="9111" xr:uid="{00000000-0005-0000-0000-0000251A0000}"/>
    <cellStyle name="Input 7 2 6 2 4" xfId="10403" xr:uid="{00000000-0005-0000-0000-0000261A0000}"/>
    <cellStyle name="Input 7 2 6 3" xfId="5705" xr:uid="{00000000-0005-0000-0000-0000271A0000}"/>
    <cellStyle name="Input 7 2 6 4" xfId="4456" xr:uid="{00000000-0005-0000-0000-0000281A0000}"/>
    <cellStyle name="Input 7 2 6 5" xfId="11483" xr:uid="{00000000-0005-0000-0000-0000291A0000}"/>
    <cellStyle name="Input 7 2 7" xfId="2190" xr:uid="{00000000-0005-0000-0000-00002A1A0000}"/>
    <cellStyle name="Input 7 2 7 2" xfId="3649" xr:uid="{00000000-0005-0000-0000-00002B1A0000}"/>
    <cellStyle name="Input 7 2 7 2 2" xfId="7219" xr:uid="{00000000-0005-0000-0000-00002C1A0000}"/>
    <cellStyle name="Input 7 2 7 2 3" xfId="9184" xr:uid="{00000000-0005-0000-0000-00002D1A0000}"/>
    <cellStyle name="Input 7 2 7 2 4" xfId="10476" xr:uid="{00000000-0005-0000-0000-00002E1A0000}"/>
    <cellStyle name="Input 7 2 7 3" xfId="5778" xr:uid="{00000000-0005-0000-0000-00002F1A0000}"/>
    <cellStyle name="Input 7 2 7 4" xfId="4882" xr:uid="{00000000-0005-0000-0000-0000301A0000}"/>
    <cellStyle name="Input 7 2 7 5" xfId="11556" xr:uid="{00000000-0005-0000-0000-0000311A0000}"/>
    <cellStyle name="Input 7 2 8" xfId="2294" xr:uid="{00000000-0005-0000-0000-0000321A0000}"/>
    <cellStyle name="Input 7 2 8 2" xfId="3751" xr:uid="{00000000-0005-0000-0000-0000331A0000}"/>
    <cellStyle name="Input 7 2 8 2 2" xfId="7321" xr:uid="{00000000-0005-0000-0000-0000341A0000}"/>
    <cellStyle name="Input 7 2 8 2 3" xfId="9284" xr:uid="{00000000-0005-0000-0000-0000351A0000}"/>
    <cellStyle name="Input 7 2 8 2 4" xfId="10578" xr:uid="{00000000-0005-0000-0000-0000361A0000}"/>
    <cellStyle name="Input 7 2 8 3" xfId="5882" xr:uid="{00000000-0005-0000-0000-0000371A0000}"/>
    <cellStyle name="Input 7 2 8 4" xfId="4558" xr:uid="{00000000-0005-0000-0000-0000381A0000}"/>
    <cellStyle name="Input 7 2 8 5" xfId="11659" xr:uid="{00000000-0005-0000-0000-0000391A0000}"/>
    <cellStyle name="Input 7 2 9" xfId="2386" xr:uid="{00000000-0005-0000-0000-00003A1A0000}"/>
    <cellStyle name="Input 7 2 9 2" xfId="3842" xr:uid="{00000000-0005-0000-0000-00003B1A0000}"/>
    <cellStyle name="Input 7 2 9 2 2" xfId="7412" xr:uid="{00000000-0005-0000-0000-00003C1A0000}"/>
    <cellStyle name="Input 7 2 9 2 3" xfId="9374" xr:uid="{00000000-0005-0000-0000-00003D1A0000}"/>
    <cellStyle name="Input 7 2 9 2 4" xfId="10669" xr:uid="{00000000-0005-0000-0000-00003E1A0000}"/>
    <cellStyle name="Input 7 2 9 3" xfId="5974" xr:uid="{00000000-0005-0000-0000-00003F1A0000}"/>
    <cellStyle name="Input 7 2 9 4" xfId="4702" xr:uid="{00000000-0005-0000-0000-0000401A0000}"/>
    <cellStyle name="Input 7 2 9 5" xfId="11750" xr:uid="{00000000-0005-0000-0000-0000411A0000}"/>
    <cellStyle name="Input 7 3" xfId="1533" xr:uid="{00000000-0005-0000-0000-0000421A0000}"/>
    <cellStyle name="Input 7 3 2" xfId="3017" xr:uid="{00000000-0005-0000-0000-0000431A0000}"/>
    <cellStyle name="Input 7 3 2 2" xfId="6594" xr:uid="{00000000-0005-0000-0000-0000441A0000}"/>
    <cellStyle name="Input 7 3 2 3" xfId="8595" xr:uid="{00000000-0005-0000-0000-0000451A0000}"/>
    <cellStyle name="Input 7 3 2 4" xfId="9918" xr:uid="{00000000-0005-0000-0000-0000461A0000}"/>
    <cellStyle name="Input 7 3 3" xfId="5130" xr:uid="{00000000-0005-0000-0000-0000471A0000}"/>
    <cellStyle name="Input 7 3 4" xfId="7808" xr:uid="{00000000-0005-0000-0000-0000481A0000}"/>
    <cellStyle name="Input 7 3 5" xfId="11000" xr:uid="{00000000-0005-0000-0000-0000491A0000}"/>
    <cellStyle name="Input 7 4" xfId="1384" xr:uid="{00000000-0005-0000-0000-00004A1A0000}"/>
    <cellStyle name="Input 7 4 2" xfId="2880" xr:uid="{00000000-0005-0000-0000-00004B1A0000}"/>
    <cellStyle name="Input 7 4 2 2" xfId="6459" xr:uid="{00000000-0005-0000-0000-00004C1A0000}"/>
    <cellStyle name="Input 7 4 2 3" xfId="8460" xr:uid="{00000000-0005-0000-0000-00004D1A0000}"/>
    <cellStyle name="Input 7 4 2 4" xfId="9785" xr:uid="{00000000-0005-0000-0000-00004E1A0000}"/>
    <cellStyle name="Input 7 4 3" xfId="4982" xr:uid="{00000000-0005-0000-0000-00004F1A0000}"/>
    <cellStyle name="Input 7 4 4" xfId="4328" xr:uid="{00000000-0005-0000-0000-0000501A0000}"/>
    <cellStyle name="Input 7 4 5" xfId="10867" xr:uid="{00000000-0005-0000-0000-0000511A0000}"/>
    <cellStyle name="Input 7 5" xfId="1294" xr:uid="{00000000-0005-0000-0000-0000521A0000}"/>
    <cellStyle name="Input 7 5 2" xfId="2794" xr:uid="{00000000-0005-0000-0000-0000531A0000}"/>
    <cellStyle name="Input 7 5 2 2" xfId="6373" xr:uid="{00000000-0005-0000-0000-0000541A0000}"/>
    <cellStyle name="Input 7 5 2 3" xfId="8379" xr:uid="{00000000-0005-0000-0000-0000551A0000}"/>
    <cellStyle name="Input 7 5 2 4" xfId="9704" xr:uid="{00000000-0005-0000-0000-0000561A0000}"/>
    <cellStyle name="Input 7 5 3" xfId="4892" xr:uid="{00000000-0005-0000-0000-0000571A0000}"/>
    <cellStyle name="Input 7 5 4" xfId="8139" xr:uid="{00000000-0005-0000-0000-0000581A0000}"/>
    <cellStyle name="Input 7 5 5" xfId="7738" xr:uid="{00000000-0005-0000-0000-0000591A0000}"/>
    <cellStyle name="Input 7 6" xfId="2595" xr:uid="{00000000-0005-0000-0000-00005A1A0000}"/>
    <cellStyle name="Input 7 6 2" xfId="6183" xr:uid="{00000000-0005-0000-0000-00005B1A0000}"/>
    <cellStyle name="Input 7 6 3" xfId="8209" xr:uid="{00000000-0005-0000-0000-00005C1A0000}"/>
    <cellStyle name="Input 7 6 4" xfId="9560" xr:uid="{00000000-0005-0000-0000-00005D1A0000}"/>
    <cellStyle name="Input 7 7" xfId="4499" xr:uid="{00000000-0005-0000-0000-00005E1A0000}"/>
    <cellStyle name="Input 7 8" xfId="4036" xr:uid="{00000000-0005-0000-0000-00005F1A0000}"/>
    <cellStyle name="Input 7 9" xfId="195" xr:uid="{00000000-0005-0000-0000-0000601A0000}"/>
    <cellStyle name="Input 8" xfId="886" xr:uid="{00000000-0005-0000-0000-0000611A0000}"/>
    <cellStyle name="Input 8 2" xfId="1200" xr:uid="{00000000-0005-0000-0000-0000621A0000}"/>
    <cellStyle name="Input 8 2 10" xfId="2456" xr:uid="{00000000-0005-0000-0000-0000631A0000}"/>
    <cellStyle name="Input 8 2 10 2" xfId="3911" xr:uid="{00000000-0005-0000-0000-0000641A0000}"/>
    <cellStyle name="Input 8 2 10 2 2" xfId="7481" xr:uid="{00000000-0005-0000-0000-0000651A0000}"/>
    <cellStyle name="Input 8 2 10 2 3" xfId="9441" xr:uid="{00000000-0005-0000-0000-0000661A0000}"/>
    <cellStyle name="Input 8 2 10 2 4" xfId="10738" xr:uid="{00000000-0005-0000-0000-0000671A0000}"/>
    <cellStyle name="Input 8 2 10 3" xfId="6044" xr:uid="{00000000-0005-0000-0000-0000681A0000}"/>
    <cellStyle name="Input 8 2 10 4" xfId="6245" xr:uid="{00000000-0005-0000-0000-0000691A0000}"/>
    <cellStyle name="Input 8 2 10 5" xfId="11820" xr:uid="{00000000-0005-0000-0000-00006A1A0000}"/>
    <cellStyle name="Input 8 2 11" xfId="2509" xr:uid="{00000000-0005-0000-0000-00006B1A0000}"/>
    <cellStyle name="Input 8 2 11 2" xfId="3964" xr:uid="{00000000-0005-0000-0000-00006C1A0000}"/>
    <cellStyle name="Input 8 2 11 2 2" xfId="7534" xr:uid="{00000000-0005-0000-0000-00006D1A0000}"/>
    <cellStyle name="Input 8 2 11 2 3" xfId="9494" xr:uid="{00000000-0005-0000-0000-00006E1A0000}"/>
    <cellStyle name="Input 8 2 11 2 4" xfId="10791" xr:uid="{00000000-0005-0000-0000-00006F1A0000}"/>
    <cellStyle name="Input 8 2 11 3" xfId="6097" xr:uid="{00000000-0005-0000-0000-0000701A0000}"/>
    <cellStyle name="Input 8 2 11 4" xfId="6852" xr:uid="{00000000-0005-0000-0000-0000711A0000}"/>
    <cellStyle name="Input 8 2 11 5" xfId="11873" xr:uid="{00000000-0005-0000-0000-0000721A0000}"/>
    <cellStyle name="Input 8 2 12" xfId="2715" xr:uid="{00000000-0005-0000-0000-0000731A0000}"/>
    <cellStyle name="Input 8 2 12 2" xfId="6298" xr:uid="{00000000-0005-0000-0000-0000741A0000}"/>
    <cellStyle name="Input 8 2 12 3" xfId="8312" xr:uid="{00000000-0005-0000-0000-0000751A0000}"/>
    <cellStyle name="Input 8 2 12 4" xfId="9650" xr:uid="{00000000-0005-0000-0000-0000761A0000}"/>
    <cellStyle name="Input 8 2 13" xfId="4799" xr:uid="{00000000-0005-0000-0000-0000771A0000}"/>
    <cellStyle name="Input 8 2 14" xfId="4158" xr:uid="{00000000-0005-0000-0000-0000781A0000}"/>
    <cellStyle name="Input 8 2 15" xfId="7941" xr:uid="{00000000-0005-0000-0000-0000791A0000}"/>
    <cellStyle name="Input 8 2 2" xfId="1747" xr:uid="{00000000-0005-0000-0000-00007A1A0000}"/>
    <cellStyle name="Input 8 2 2 2" xfId="3224" xr:uid="{00000000-0005-0000-0000-00007B1A0000}"/>
    <cellStyle name="Input 8 2 2 2 2" xfId="6797" xr:uid="{00000000-0005-0000-0000-00007C1A0000}"/>
    <cellStyle name="Input 8 2 2 2 3" xfId="8775" xr:uid="{00000000-0005-0000-0000-00007D1A0000}"/>
    <cellStyle name="Input 8 2 2 2 4" xfId="10077" xr:uid="{00000000-0005-0000-0000-00007E1A0000}"/>
    <cellStyle name="Input 8 2 2 3" xfId="5339" xr:uid="{00000000-0005-0000-0000-00007F1A0000}"/>
    <cellStyle name="Input 8 2 2 4" xfId="4190" xr:uid="{00000000-0005-0000-0000-0000801A0000}"/>
    <cellStyle name="Input 8 2 2 5" xfId="11154" xr:uid="{00000000-0005-0000-0000-0000811A0000}"/>
    <cellStyle name="Input 8 2 3" xfId="1916" xr:uid="{00000000-0005-0000-0000-0000821A0000}"/>
    <cellStyle name="Input 8 2 3 2" xfId="3380" xr:uid="{00000000-0005-0000-0000-0000831A0000}"/>
    <cellStyle name="Input 8 2 3 2 2" xfId="6950" xr:uid="{00000000-0005-0000-0000-0000841A0000}"/>
    <cellStyle name="Input 8 2 3 2 3" xfId="8916" xr:uid="{00000000-0005-0000-0000-0000851A0000}"/>
    <cellStyle name="Input 8 2 3 2 4" xfId="10207" xr:uid="{00000000-0005-0000-0000-0000861A0000}"/>
    <cellStyle name="Input 8 2 3 3" xfId="5504" xr:uid="{00000000-0005-0000-0000-0000871A0000}"/>
    <cellStyle name="Input 8 2 3 4" xfId="8056" xr:uid="{00000000-0005-0000-0000-0000881A0000}"/>
    <cellStyle name="Input 8 2 3 5" xfId="11285" xr:uid="{00000000-0005-0000-0000-0000891A0000}"/>
    <cellStyle name="Input 8 2 4" xfId="1988" xr:uid="{00000000-0005-0000-0000-00008A1A0000}"/>
    <cellStyle name="Input 8 2 4 2" xfId="3451" xr:uid="{00000000-0005-0000-0000-00008B1A0000}"/>
    <cellStyle name="Input 8 2 4 2 2" xfId="7021" xr:uid="{00000000-0005-0000-0000-00008C1A0000}"/>
    <cellStyle name="Input 8 2 4 2 3" xfId="8987" xr:uid="{00000000-0005-0000-0000-00008D1A0000}"/>
    <cellStyle name="Input 8 2 4 2 4" xfId="10278" xr:uid="{00000000-0005-0000-0000-00008E1A0000}"/>
    <cellStyle name="Input 8 2 4 3" xfId="5576" xr:uid="{00000000-0005-0000-0000-00008F1A0000}"/>
    <cellStyle name="Input 8 2 4 4" xfId="7666" xr:uid="{00000000-0005-0000-0000-0000901A0000}"/>
    <cellStyle name="Input 8 2 4 5" xfId="11356" xr:uid="{00000000-0005-0000-0000-0000911A0000}"/>
    <cellStyle name="Input 8 2 5" xfId="2054" xr:uid="{00000000-0005-0000-0000-0000921A0000}"/>
    <cellStyle name="Input 8 2 5 2" xfId="3515" xr:uid="{00000000-0005-0000-0000-0000931A0000}"/>
    <cellStyle name="Input 8 2 5 2 2" xfId="7085" xr:uid="{00000000-0005-0000-0000-0000941A0000}"/>
    <cellStyle name="Input 8 2 5 2 3" xfId="9051" xr:uid="{00000000-0005-0000-0000-0000951A0000}"/>
    <cellStyle name="Input 8 2 5 2 4" xfId="10342" xr:uid="{00000000-0005-0000-0000-0000961A0000}"/>
    <cellStyle name="Input 8 2 5 3" xfId="5642" xr:uid="{00000000-0005-0000-0000-0000971A0000}"/>
    <cellStyle name="Input 8 2 5 4" xfId="4082" xr:uid="{00000000-0005-0000-0000-0000981A0000}"/>
    <cellStyle name="Input 8 2 5 5" xfId="11421" xr:uid="{00000000-0005-0000-0000-0000991A0000}"/>
    <cellStyle name="Input 8 2 6" xfId="2118" xr:uid="{00000000-0005-0000-0000-00009A1A0000}"/>
    <cellStyle name="Input 8 2 6 2" xfId="3577" xr:uid="{00000000-0005-0000-0000-00009B1A0000}"/>
    <cellStyle name="Input 8 2 6 2 2" xfId="7147" xr:uid="{00000000-0005-0000-0000-00009C1A0000}"/>
    <cellStyle name="Input 8 2 6 2 3" xfId="9112" xr:uid="{00000000-0005-0000-0000-00009D1A0000}"/>
    <cellStyle name="Input 8 2 6 2 4" xfId="10404" xr:uid="{00000000-0005-0000-0000-00009E1A0000}"/>
    <cellStyle name="Input 8 2 6 3" xfId="5706" xr:uid="{00000000-0005-0000-0000-00009F1A0000}"/>
    <cellStyle name="Input 8 2 6 4" xfId="5234" xr:uid="{00000000-0005-0000-0000-0000A01A0000}"/>
    <cellStyle name="Input 8 2 6 5" xfId="11484" xr:uid="{00000000-0005-0000-0000-0000A11A0000}"/>
    <cellStyle name="Input 8 2 7" xfId="2191" xr:uid="{00000000-0005-0000-0000-0000A21A0000}"/>
    <cellStyle name="Input 8 2 7 2" xfId="3650" xr:uid="{00000000-0005-0000-0000-0000A31A0000}"/>
    <cellStyle name="Input 8 2 7 2 2" xfId="7220" xr:uid="{00000000-0005-0000-0000-0000A41A0000}"/>
    <cellStyle name="Input 8 2 7 2 3" xfId="9185" xr:uid="{00000000-0005-0000-0000-0000A51A0000}"/>
    <cellStyle name="Input 8 2 7 2 4" xfId="10477" xr:uid="{00000000-0005-0000-0000-0000A61A0000}"/>
    <cellStyle name="Input 8 2 7 3" xfId="5779" xr:uid="{00000000-0005-0000-0000-0000A71A0000}"/>
    <cellStyle name="Input 8 2 7 4" xfId="6363" xr:uid="{00000000-0005-0000-0000-0000A81A0000}"/>
    <cellStyle name="Input 8 2 7 5" xfId="11557" xr:uid="{00000000-0005-0000-0000-0000A91A0000}"/>
    <cellStyle name="Input 8 2 8" xfId="2295" xr:uid="{00000000-0005-0000-0000-0000AA1A0000}"/>
    <cellStyle name="Input 8 2 8 2" xfId="3752" xr:uid="{00000000-0005-0000-0000-0000AB1A0000}"/>
    <cellStyle name="Input 8 2 8 2 2" xfId="7322" xr:uid="{00000000-0005-0000-0000-0000AC1A0000}"/>
    <cellStyle name="Input 8 2 8 2 3" xfId="9285" xr:uid="{00000000-0005-0000-0000-0000AD1A0000}"/>
    <cellStyle name="Input 8 2 8 2 4" xfId="10579" xr:uid="{00000000-0005-0000-0000-0000AE1A0000}"/>
    <cellStyle name="Input 8 2 8 3" xfId="5883" xr:uid="{00000000-0005-0000-0000-0000AF1A0000}"/>
    <cellStyle name="Input 8 2 8 4" xfId="4559" xr:uid="{00000000-0005-0000-0000-0000B01A0000}"/>
    <cellStyle name="Input 8 2 8 5" xfId="11660" xr:uid="{00000000-0005-0000-0000-0000B11A0000}"/>
    <cellStyle name="Input 8 2 9" xfId="2387" xr:uid="{00000000-0005-0000-0000-0000B21A0000}"/>
    <cellStyle name="Input 8 2 9 2" xfId="3843" xr:uid="{00000000-0005-0000-0000-0000B31A0000}"/>
    <cellStyle name="Input 8 2 9 2 2" xfId="7413" xr:uid="{00000000-0005-0000-0000-0000B41A0000}"/>
    <cellStyle name="Input 8 2 9 2 3" xfId="9375" xr:uid="{00000000-0005-0000-0000-0000B51A0000}"/>
    <cellStyle name="Input 8 2 9 2 4" xfId="10670" xr:uid="{00000000-0005-0000-0000-0000B61A0000}"/>
    <cellStyle name="Input 8 2 9 3" xfId="5975" xr:uid="{00000000-0005-0000-0000-0000B71A0000}"/>
    <cellStyle name="Input 8 2 9 4" xfId="4857" xr:uid="{00000000-0005-0000-0000-0000B81A0000}"/>
    <cellStyle name="Input 8 2 9 5" xfId="11751" xr:uid="{00000000-0005-0000-0000-0000B91A0000}"/>
    <cellStyle name="Input 8 3" xfId="1534" xr:uid="{00000000-0005-0000-0000-0000BA1A0000}"/>
    <cellStyle name="Input 8 3 2" xfId="3018" xr:uid="{00000000-0005-0000-0000-0000BB1A0000}"/>
    <cellStyle name="Input 8 3 2 2" xfId="6595" xr:uid="{00000000-0005-0000-0000-0000BC1A0000}"/>
    <cellStyle name="Input 8 3 2 3" xfId="8596" xr:uid="{00000000-0005-0000-0000-0000BD1A0000}"/>
    <cellStyle name="Input 8 3 2 4" xfId="9919" xr:uid="{00000000-0005-0000-0000-0000BE1A0000}"/>
    <cellStyle name="Input 8 3 3" xfId="5131" xr:uid="{00000000-0005-0000-0000-0000BF1A0000}"/>
    <cellStyle name="Input 8 3 4" xfId="8286" xr:uid="{00000000-0005-0000-0000-0000C01A0000}"/>
    <cellStyle name="Input 8 3 5" xfId="11001" xr:uid="{00000000-0005-0000-0000-0000C11A0000}"/>
    <cellStyle name="Input 8 4" xfId="1838" xr:uid="{00000000-0005-0000-0000-0000C21A0000}"/>
    <cellStyle name="Input 8 4 2" xfId="3314" xr:uid="{00000000-0005-0000-0000-0000C31A0000}"/>
    <cellStyle name="Input 8 4 2 2" xfId="6884" xr:uid="{00000000-0005-0000-0000-0000C41A0000}"/>
    <cellStyle name="Input 8 4 2 3" xfId="8852" xr:uid="{00000000-0005-0000-0000-0000C51A0000}"/>
    <cellStyle name="Input 8 4 2 4" xfId="10144" xr:uid="{00000000-0005-0000-0000-0000C61A0000}"/>
    <cellStyle name="Input 8 4 3" xfId="5427" xr:uid="{00000000-0005-0000-0000-0000C71A0000}"/>
    <cellStyle name="Input 8 4 4" xfId="4671" xr:uid="{00000000-0005-0000-0000-0000C81A0000}"/>
    <cellStyle name="Input 8 4 5" xfId="11221" xr:uid="{00000000-0005-0000-0000-0000C91A0000}"/>
    <cellStyle name="Input 8 5" xfId="1446" xr:uid="{00000000-0005-0000-0000-0000CA1A0000}"/>
    <cellStyle name="Input 8 5 2" xfId="2933" xr:uid="{00000000-0005-0000-0000-0000CB1A0000}"/>
    <cellStyle name="Input 8 5 2 2" xfId="6511" xr:uid="{00000000-0005-0000-0000-0000CC1A0000}"/>
    <cellStyle name="Input 8 5 2 3" xfId="8513" xr:uid="{00000000-0005-0000-0000-0000CD1A0000}"/>
    <cellStyle name="Input 8 5 2 4" xfId="9836" xr:uid="{00000000-0005-0000-0000-0000CE1A0000}"/>
    <cellStyle name="Input 8 5 3" xfId="5044" xr:uid="{00000000-0005-0000-0000-0000CF1A0000}"/>
    <cellStyle name="Input 8 5 4" xfId="8039" xr:uid="{00000000-0005-0000-0000-0000D01A0000}"/>
    <cellStyle name="Input 8 5 5" xfId="10917" xr:uid="{00000000-0005-0000-0000-0000D11A0000}"/>
    <cellStyle name="Input 8 6" xfId="2596" xr:uid="{00000000-0005-0000-0000-0000D21A0000}"/>
    <cellStyle name="Input 8 6 2" xfId="6184" xr:uid="{00000000-0005-0000-0000-0000D31A0000}"/>
    <cellStyle name="Input 8 6 3" xfId="8210" xr:uid="{00000000-0005-0000-0000-0000D41A0000}"/>
    <cellStyle name="Input 8 6 4" xfId="9561" xr:uid="{00000000-0005-0000-0000-0000D51A0000}"/>
    <cellStyle name="Input 8 7" xfId="4500" xr:uid="{00000000-0005-0000-0000-0000D61A0000}"/>
    <cellStyle name="Input 8 8" xfId="4035" xr:uid="{00000000-0005-0000-0000-0000D71A0000}"/>
    <cellStyle name="Input 8 9" xfId="4297" xr:uid="{00000000-0005-0000-0000-0000D81A0000}"/>
    <cellStyle name="Input 9" xfId="887" xr:uid="{00000000-0005-0000-0000-0000D91A0000}"/>
    <cellStyle name="Input 9 2" xfId="1201" xr:uid="{00000000-0005-0000-0000-0000DA1A0000}"/>
    <cellStyle name="Input 9 2 10" xfId="2457" xr:uid="{00000000-0005-0000-0000-0000DB1A0000}"/>
    <cellStyle name="Input 9 2 10 2" xfId="3912" xr:uid="{00000000-0005-0000-0000-0000DC1A0000}"/>
    <cellStyle name="Input 9 2 10 2 2" xfId="7482" xr:uid="{00000000-0005-0000-0000-0000DD1A0000}"/>
    <cellStyle name="Input 9 2 10 2 3" xfId="9442" xr:uid="{00000000-0005-0000-0000-0000DE1A0000}"/>
    <cellStyle name="Input 9 2 10 2 4" xfId="10739" xr:uid="{00000000-0005-0000-0000-0000DF1A0000}"/>
    <cellStyle name="Input 9 2 10 3" xfId="6045" xr:uid="{00000000-0005-0000-0000-0000E01A0000}"/>
    <cellStyle name="Input 9 2 10 4" xfId="4890" xr:uid="{00000000-0005-0000-0000-0000E11A0000}"/>
    <cellStyle name="Input 9 2 10 5" xfId="11821" xr:uid="{00000000-0005-0000-0000-0000E21A0000}"/>
    <cellStyle name="Input 9 2 11" xfId="2510" xr:uid="{00000000-0005-0000-0000-0000E31A0000}"/>
    <cellStyle name="Input 9 2 11 2" xfId="3965" xr:uid="{00000000-0005-0000-0000-0000E41A0000}"/>
    <cellStyle name="Input 9 2 11 2 2" xfId="7535" xr:uid="{00000000-0005-0000-0000-0000E51A0000}"/>
    <cellStyle name="Input 9 2 11 2 3" xfId="9495" xr:uid="{00000000-0005-0000-0000-0000E61A0000}"/>
    <cellStyle name="Input 9 2 11 2 4" xfId="10792" xr:uid="{00000000-0005-0000-0000-0000E71A0000}"/>
    <cellStyle name="Input 9 2 11 3" xfId="6098" xr:uid="{00000000-0005-0000-0000-0000E81A0000}"/>
    <cellStyle name="Input 9 2 11 4" xfId="6347" xr:uid="{00000000-0005-0000-0000-0000E91A0000}"/>
    <cellStyle name="Input 9 2 11 5" xfId="11874" xr:uid="{00000000-0005-0000-0000-0000EA1A0000}"/>
    <cellStyle name="Input 9 2 12" xfId="2716" xr:uid="{00000000-0005-0000-0000-0000EB1A0000}"/>
    <cellStyle name="Input 9 2 12 2" xfId="6299" xr:uid="{00000000-0005-0000-0000-0000EC1A0000}"/>
    <cellStyle name="Input 9 2 12 3" xfId="8313" xr:uid="{00000000-0005-0000-0000-0000ED1A0000}"/>
    <cellStyle name="Input 9 2 12 4" xfId="9651" xr:uid="{00000000-0005-0000-0000-0000EE1A0000}"/>
    <cellStyle name="Input 9 2 13" xfId="4800" xr:uid="{00000000-0005-0000-0000-0000EF1A0000}"/>
    <cellStyle name="Input 9 2 14" xfId="4157" xr:uid="{00000000-0005-0000-0000-0000F01A0000}"/>
    <cellStyle name="Input 9 2 15" xfId="7916" xr:uid="{00000000-0005-0000-0000-0000F11A0000}"/>
    <cellStyle name="Input 9 2 2" xfId="1748" xr:uid="{00000000-0005-0000-0000-0000F21A0000}"/>
    <cellStyle name="Input 9 2 2 2" xfId="3225" xr:uid="{00000000-0005-0000-0000-0000F31A0000}"/>
    <cellStyle name="Input 9 2 2 2 2" xfId="6798" xr:uid="{00000000-0005-0000-0000-0000F41A0000}"/>
    <cellStyle name="Input 9 2 2 2 3" xfId="8776" xr:uid="{00000000-0005-0000-0000-0000F51A0000}"/>
    <cellStyle name="Input 9 2 2 2 4" xfId="10078" xr:uid="{00000000-0005-0000-0000-0000F61A0000}"/>
    <cellStyle name="Input 9 2 2 3" xfId="5340" xr:uid="{00000000-0005-0000-0000-0000F71A0000}"/>
    <cellStyle name="Input 9 2 2 4" xfId="6376" xr:uid="{00000000-0005-0000-0000-0000F81A0000}"/>
    <cellStyle name="Input 9 2 2 5" xfId="11155" xr:uid="{00000000-0005-0000-0000-0000F91A0000}"/>
    <cellStyle name="Input 9 2 3" xfId="1917" xr:uid="{00000000-0005-0000-0000-0000FA1A0000}"/>
    <cellStyle name="Input 9 2 3 2" xfId="3381" xr:uid="{00000000-0005-0000-0000-0000FB1A0000}"/>
    <cellStyle name="Input 9 2 3 2 2" xfId="6951" xr:uid="{00000000-0005-0000-0000-0000FC1A0000}"/>
    <cellStyle name="Input 9 2 3 2 3" xfId="8917" xr:uid="{00000000-0005-0000-0000-0000FD1A0000}"/>
    <cellStyle name="Input 9 2 3 2 4" xfId="10208" xr:uid="{00000000-0005-0000-0000-0000FE1A0000}"/>
    <cellStyle name="Input 9 2 3 3" xfId="5505" xr:uid="{00000000-0005-0000-0000-0000FF1A0000}"/>
    <cellStyle name="Input 9 2 3 4" xfId="7779" xr:uid="{00000000-0005-0000-0000-0000001B0000}"/>
    <cellStyle name="Input 9 2 3 5" xfId="11286" xr:uid="{00000000-0005-0000-0000-0000011B0000}"/>
    <cellStyle name="Input 9 2 4" xfId="1989" xr:uid="{00000000-0005-0000-0000-0000021B0000}"/>
    <cellStyle name="Input 9 2 4 2" xfId="3452" xr:uid="{00000000-0005-0000-0000-0000031B0000}"/>
    <cellStyle name="Input 9 2 4 2 2" xfId="7022" xr:uid="{00000000-0005-0000-0000-0000041B0000}"/>
    <cellStyle name="Input 9 2 4 2 3" xfId="8988" xr:uid="{00000000-0005-0000-0000-0000051B0000}"/>
    <cellStyle name="Input 9 2 4 2 4" xfId="10279" xr:uid="{00000000-0005-0000-0000-0000061B0000}"/>
    <cellStyle name="Input 9 2 4 3" xfId="5577" xr:uid="{00000000-0005-0000-0000-0000071B0000}"/>
    <cellStyle name="Input 9 2 4 4" xfId="4085" xr:uid="{00000000-0005-0000-0000-0000081B0000}"/>
    <cellStyle name="Input 9 2 4 5" xfId="11357" xr:uid="{00000000-0005-0000-0000-0000091B0000}"/>
    <cellStyle name="Input 9 2 5" xfId="2055" xr:uid="{00000000-0005-0000-0000-00000A1B0000}"/>
    <cellStyle name="Input 9 2 5 2" xfId="3516" xr:uid="{00000000-0005-0000-0000-00000B1B0000}"/>
    <cellStyle name="Input 9 2 5 2 2" xfId="7086" xr:uid="{00000000-0005-0000-0000-00000C1B0000}"/>
    <cellStyle name="Input 9 2 5 2 3" xfId="9052" xr:uid="{00000000-0005-0000-0000-00000D1B0000}"/>
    <cellStyle name="Input 9 2 5 2 4" xfId="10343" xr:uid="{00000000-0005-0000-0000-00000E1B0000}"/>
    <cellStyle name="Input 9 2 5 3" xfId="5643" xr:uid="{00000000-0005-0000-0000-00000F1B0000}"/>
    <cellStyle name="Input 9 2 5 4" xfId="7763" xr:uid="{00000000-0005-0000-0000-0000101B0000}"/>
    <cellStyle name="Input 9 2 5 5" xfId="11422" xr:uid="{00000000-0005-0000-0000-0000111B0000}"/>
    <cellStyle name="Input 9 2 6" xfId="2119" xr:uid="{00000000-0005-0000-0000-0000121B0000}"/>
    <cellStyle name="Input 9 2 6 2" xfId="3578" xr:uid="{00000000-0005-0000-0000-0000131B0000}"/>
    <cellStyle name="Input 9 2 6 2 2" xfId="7148" xr:uid="{00000000-0005-0000-0000-0000141B0000}"/>
    <cellStyle name="Input 9 2 6 2 3" xfId="9113" xr:uid="{00000000-0005-0000-0000-0000151B0000}"/>
    <cellStyle name="Input 9 2 6 2 4" xfId="10405" xr:uid="{00000000-0005-0000-0000-0000161B0000}"/>
    <cellStyle name="Input 9 2 6 3" xfId="5707" xr:uid="{00000000-0005-0000-0000-0000171B0000}"/>
    <cellStyle name="Input 9 2 6 4" xfId="4674" xr:uid="{00000000-0005-0000-0000-0000181B0000}"/>
    <cellStyle name="Input 9 2 6 5" xfId="11485" xr:uid="{00000000-0005-0000-0000-0000191B0000}"/>
    <cellStyle name="Input 9 2 7" xfId="2192" xr:uid="{00000000-0005-0000-0000-00001A1B0000}"/>
    <cellStyle name="Input 9 2 7 2" xfId="3651" xr:uid="{00000000-0005-0000-0000-00001B1B0000}"/>
    <cellStyle name="Input 9 2 7 2 2" xfId="7221" xr:uid="{00000000-0005-0000-0000-00001C1B0000}"/>
    <cellStyle name="Input 9 2 7 2 3" xfId="9186" xr:uid="{00000000-0005-0000-0000-00001D1B0000}"/>
    <cellStyle name="Input 9 2 7 2 4" xfId="10478" xr:uid="{00000000-0005-0000-0000-00001E1B0000}"/>
    <cellStyle name="Input 9 2 7 3" xfId="5780" xr:uid="{00000000-0005-0000-0000-00001F1B0000}"/>
    <cellStyle name="Input 9 2 7 4" xfId="4678" xr:uid="{00000000-0005-0000-0000-0000201B0000}"/>
    <cellStyle name="Input 9 2 7 5" xfId="11558" xr:uid="{00000000-0005-0000-0000-0000211B0000}"/>
    <cellStyle name="Input 9 2 8" xfId="2296" xr:uid="{00000000-0005-0000-0000-0000221B0000}"/>
    <cellStyle name="Input 9 2 8 2" xfId="3753" xr:uid="{00000000-0005-0000-0000-0000231B0000}"/>
    <cellStyle name="Input 9 2 8 2 2" xfId="7323" xr:uid="{00000000-0005-0000-0000-0000241B0000}"/>
    <cellStyle name="Input 9 2 8 2 3" xfId="9286" xr:uid="{00000000-0005-0000-0000-0000251B0000}"/>
    <cellStyle name="Input 9 2 8 2 4" xfId="10580" xr:uid="{00000000-0005-0000-0000-0000261B0000}"/>
    <cellStyle name="Input 9 2 8 3" xfId="5884" xr:uid="{00000000-0005-0000-0000-0000271B0000}"/>
    <cellStyle name="Input 9 2 8 4" xfId="4560" xr:uid="{00000000-0005-0000-0000-0000281B0000}"/>
    <cellStyle name="Input 9 2 8 5" xfId="11661" xr:uid="{00000000-0005-0000-0000-0000291B0000}"/>
    <cellStyle name="Input 9 2 9" xfId="2388" xr:uid="{00000000-0005-0000-0000-00002A1B0000}"/>
    <cellStyle name="Input 9 2 9 2" xfId="3844" xr:uid="{00000000-0005-0000-0000-00002B1B0000}"/>
    <cellStyle name="Input 9 2 9 2 2" xfId="7414" xr:uid="{00000000-0005-0000-0000-00002C1B0000}"/>
    <cellStyle name="Input 9 2 9 2 3" xfId="9376" xr:uid="{00000000-0005-0000-0000-00002D1B0000}"/>
    <cellStyle name="Input 9 2 9 2 4" xfId="10671" xr:uid="{00000000-0005-0000-0000-00002E1B0000}"/>
    <cellStyle name="Input 9 2 9 3" xfId="5976" xr:uid="{00000000-0005-0000-0000-00002F1B0000}"/>
    <cellStyle name="Input 9 2 9 4" xfId="4706" xr:uid="{00000000-0005-0000-0000-0000301B0000}"/>
    <cellStyle name="Input 9 2 9 5" xfId="11752" xr:uid="{00000000-0005-0000-0000-0000311B0000}"/>
    <cellStyle name="Input 9 3" xfId="1535" xr:uid="{00000000-0005-0000-0000-0000321B0000}"/>
    <cellStyle name="Input 9 3 2" xfId="3019" xr:uid="{00000000-0005-0000-0000-0000331B0000}"/>
    <cellStyle name="Input 9 3 2 2" xfId="6596" xr:uid="{00000000-0005-0000-0000-0000341B0000}"/>
    <cellStyle name="Input 9 3 2 3" xfId="8597" xr:uid="{00000000-0005-0000-0000-0000351B0000}"/>
    <cellStyle name="Input 9 3 2 4" xfId="9920" xr:uid="{00000000-0005-0000-0000-0000361B0000}"/>
    <cellStyle name="Input 9 3 3" xfId="5132" xr:uid="{00000000-0005-0000-0000-0000371B0000}"/>
    <cellStyle name="Input 9 3 4" xfId="7950" xr:uid="{00000000-0005-0000-0000-0000381B0000}"/>
    <cellStyle name="Input 9 3 5" xfId="11002" xr:uid="{00000000-0005-0000-0000-0000391B0000}"/>
    <cellStyle name="Input 9 4" xfId="1277" xr:uid="{00000000-0005-0000-0000-00003A1B0000}"/>
    <cellStyle name="Input 9 4 2" xfId="2778" xr:uid="{00000000-0005-0000-0000-00003B1B0000}"/>
    <cellStyle name="Input 9 4 2 2" xfId="6357" xr:uid="{00000000-0005-0000-0000-00003C1B0000}"/>
    <cellStyle name="Input 9 4 2 3" xfId="8365" xr:uid="{00000000-0005-0000-0000-00003D1B0000}"/>
    <cellStyle name="Input 9 4 2 4" xfId="9690" xr:uid="{00000000-0005-0000-0000-00003E1B0000}"/>
    <cellStyle name="Input 9 4 3" xfId="4875" xr:uid="{00000000-0005-0000-0000-00003F1B0000}"/>
    <cellStyle name="Input 9 4 4" xfId="7960" xr:uid="{00000000-0005-0000-0000-0000401B0000}"/>
    <cellStyle name="Input 9 4 5" xfId="7770" xr:uid="{00000000-0005-0000-0000-0000411B0000}"/>
    <cellStyle name="Input 9 5" xfId="1295" xr:uid="{00000000-0005-0000-0000-0000421B0000}"/>
    <cellStyle name="Input 9 5 2" xfId="2795" xr:uid="{00000000-0005-0000-0000-0000431B0000}"/>
    <cellStyle name="Input 9 5 2 2" xfId="6374" xr:uid="{00000000-0005-0000-0000-0000441B0000}"/>
    <cellStyle name="Input 9 5 2 3" xfId="8380" xr:uid="{00000000-0005-0000-0000-0000451B0000}"/>
    <cellStyle name="Input 9 5 2 4" xfId="9705" xr:uid="{00000000-0005-0000-0000-0000461B0000}"/>
    <cellStyle name="Input 9 5 3" xfId="4893" xr:uid="{00000000-0005-0000-0000-0000471B0000}"/>
    <cellStyle name="Input 9 5 4" xfId="8112" xr:uid="{00000000-0005-0000-0000-0000481B0000}"/>
    <cellStyle name="Input 9 5 5" xfId="8672" xr:uid="{00000000-0005-0000-0000-0000491B0000}"/>
    <cellStyle name="Input 9 6" xfId="2597" xr:uid="{00000000-0005-0000-0000-00004A1B0000}"/>
    <cellStyle name="Input 9 6 2" xfId="6185" xr:uid="{00000000-0005-0000-0000-00004B1B0000}"/>
    <cellStyle name="Input 9 6 3" xfId="8211" xr:uid="{00000000-0005-0000-0000-00004C1B0000}"/>
    <cellStyle name="Input 9 6 4" xfId="9562" xr:uid="{00000000-0005-0000-0000-00004D1B0000}"/>
    <cellStyle name="Input 9 7" xfId="4501" xr:uid="{00000000-0005-0000-0000-00004E1B0000}"/>
    <cellStyle name="Input 9 8" xfId="4318" xr:uid="{00000000-0005-0000-0000-00004F1B0000}"/>
    <cellStyle name="Input 9 9" xfId="4298" xr:uid="{00000000-0005-0000-0000-0000501B0000}"/>
    <cellStyle name="Linked Cell" xfId="105" builtinId="24" customBuiltin="1"/>
    <cellStyle name="Linked Cell 10" xfId="888" xr:uid="{00000000-0005-0000-0000-0000521B0000}"/>
    <cellStyle name="Linked Cell 10 2" xfId="1536" xr:uid="{00000000-0005-0000-0000-0000531B0000}"/>
    <cellStyle name="Linked Cell 10 2 2" xfId="3020" xr:uid="{00000000-0005-0000-0000-0000541B0000}"/>
    <cellStyle name="Linked Cell 10 3" xfId="1411" xr:uid="{00000000-0005-0000-0000-0000551B0000}"/>
    <cellStyle name="Linked Cell 11" xfId="889" xr:uid="{00000000-0005-0000-0000-0000561B0000}"/>
    <cellStyle name="Linked Cell 11 2" xfId="1537" xr:uid="{00000000-0005-0000-0000-0000571B0000}"/>
    <cellStyle name="Linked Cell 11 2 2" xfId="3021" xr:uid="{00000000-0005-0000-0000-0000581B0000}"/>
    <cellStyle name="Linked Cell 11 3" xfId="1278" xr:uid="{00000000-0005-0000-0000-0000591B0000}"/>
    <cellStyle name="Linked Cell 12" xfId="890" xr:uid="{00000000-0005-0000-0000-00005A1B0000}"/>
    <cellStyle name="Linked Cell 12 2" xfId="1538" xr:uid="{00000000-0005-0000-0000-00005B1B0000}"/>
    <cellStyle name="Linked Cell 12 2 2" xfId="3022" xr:uid="{00000000-0005-0000-0000-00005C1B0000}"/>
    <cellStyle name="Linked Cell 12 3" xfId="1350" xr:uid="{00000000-0005-0000-0000-00005D1B0000}"/>
    <cellStyle name="Linked Cell 13" xfId="891" xr:uid="{00000000-0005-0000-0000-00005E1B0000}"/>
    <cellStyle name="Linked Cell 13 2" xfId="1539" xr:uid="{00000000-0005-0000-0000-00005F1B0000}"/>
    <cellStyle name="Linked Cell 13 2 2" xfId="3023" xr:uid="{00000000-0005-0000-0000-0000601B0000}"/>
    <cellStyle name="Linked Cell 13 3" xfId="1878" xr:uid="{00000000-0005-0000-0000-0000611B0000}"/>
    <cellStyle name="Linked Cell 14" xfId="892" xr:uid="{00000000-0005-0000-0000-0000621B0000}"/>
    <cellStyle name="Linked Cell 14 2" xfId="1540" xr:uid="{00000000-0005-0000-0000-0000631B0000}"/>
    <cellStyle name="Linked Cell 14 2 2" xfId="3024" xr:uid="{00000000-0005-0000-0000-0000641B0000}"/>
    <cellStyle name="Linked Cell 14 3" xfId="1877" xr:uid="{00000000-0005-0000-0000-0000651B0000}"/>
    <cellStyle name="Linked Cell 15" xfId="893" xr:uid="{00000000-0005-0000-0000-0000661B0000}"/>
    <cellStyle name="Linked Cell 15 2" xfId="1541" xr:uid="{00000000-0005-0000-0000-0000671B0000}"/>
    <cellStyle name="Linked Cell 15 2 2" xfId="3025" xr:uid="{00000000-0005-0000-0000-0000681B0000}"/>
    <cellStyle name="Linked Cell 15 3" xfId="1631" xr:uid="{00000000-0005-0000-0000-0000691B0000}"/>
    <cellStyle name="Linked Cell 16" xfId="894" xr:uid="{00000000-0005-0000-0000-00006A1B0000}"/>
    <cellStyle name="Linked Cell 16 2" xfId="1542" xr:uid="{00000000-0005-0000-0000-00006B1B0000}"/>
    <cellStyle name="Linked Cell 16 2 2" xfId="3026" xr:uid="{00000000-0005-0000-0000-00006C1B0000}"/>
    <cellStyle name="Linked Cell 16 3" xfId="1410" xr:uid="{00000000-0005-0000-0000-00006D1B0000}"/>
    <cellStyle name="Linked Cell 17" xfId="895" xr:uid="{00000000-0005-0000-0000-00006E1B0000}"/>
    <cellStyle name="Linked Cell 17 2" xfId="1543" xr:uid="{00000000-0005-0000-0000-00006F1B0000}"/>
    <cellStyle name="Linked Cell 17 2 2" xfId="3027" xr:uid="{00000000-0005-0000-0000-0000701B0000}"/>
    <cellStyle name="Linked Cell 17 3" xfId="1879" xr:uid="{00000000-0005-0000-0000-0000711B0000}"/>
    <cellStyle name="Linked Cell 18" xfId="896" xr:uid="{00000000-0005-0000-0000-0000721B0000}"/>
    <cellStyle name="Linked Cell 18 2" xfId="1544" xr:uid="{00000000-0005-0000-0000-0000731B0000}"/>
    <cellStyle name="Linked Cell 18 2 2" xfId="3028" xr:uid="{00000000-0005-0000-0000-0000741B0000}"/>
    <cellStyle name="Linked Cell 18 3" xfId="1836" xr:uid="{00000000-0005-0000-0000-0000751B0000}"/>
    <cellStyle name="Linked Cell 19" xfId="897" xr:uid="{00000000-0005-0000-0000-0000761B0000}"/>
    <cellStyle name="Linked Cell 19 2" xfId="1545" xr:uid="{00000000-0005-0000-0000-0000771B0000}"/>
    <cellStyle name="Linked Cell 19 2 2" xfId="3029" xr:uid="{00000000-0005-0000-0000-0000781B0000}"/>
    <cellStyle name="Linked Cell 19 3" xfId="2097" xr:uid="{00000000-0005-0000-0000-0000791B0000}"/>
    <cellStyle name="Linked Cell 2" xfId="183" xr:uid="{00000000-0005-0000-0000-00007A1B0000}"/>
    <cellStyle name="Linked Cell 2 2" xfId="1284" xr:uid="{00000000-0005-0000-0000-00007B1B0000}"/>
    <cellStyle name="Linked Cell 2 2 2" xfId="2784" xr:uid="{00000000-0005-0000-0000-00007C1B0000}"/>
    <cellStyle name="Linked Cell 2 3" xfId="1710" xr:uid="{00000000-0005-0000-0000-00007D1B0000}"/>
    <cellStyle name="Linked Cell 3" xfId="898" xr:uid="{00000000-0005-0000-0000-00007E1B0000}"/>
    <cellStyle name="Linked Cell 3 2" xfId="1546" xr:uid="{00000000-0005-0000-0000-00007F1B0000}"/>
    <cellStyle name="Linked Cell 3 2 2" xfId="3030" xr:uid="{00000000-0005-0000-0000-0000801B0000}"/>
    <cellStyle name="Linked Cell 3 3" xfId="1839" xr:uid="{00000000-0005-0000-0000-0000811B0000}"/>
    <cellStyle name="Linked Cell 4" xfId="899" xr:uid="{00000000-0005-0000-0000-0000821B0000}"/>
    <cellStyle name="Linked Cell 4 2" xfId="1547" xr:uid="{00000000-0005-0000-0000-0000831B0000}"/>
    <cellStyle name="Linked Cell 4 2 2" xfId="3031" xr:uid="{00000000-0005-0000-0000-0000841B0000}"/>
    <cellStyle name="Linked Cell 4 3" xfId="1409" xr:uid="{00000000-0005-0000-0000-0000851B0000}"/>
    <cellStyle name="Linked Cell 5" xfId="900" xr:uid="{00000000-0005-0000-0000-0000861B0000}"/>
    <cellStyle name="Linked Cell 5 2" xfId="1548" xr:uid="{00000000-0005-0000-0000-0000871B0000}"/>
    <cellStyle name="Linked Cell 5 2 2" xfId="3032" xr:uid="{00000000-0005-0000-0000-0000881B0000}"/>
    <cellStyle name="Linked Cell 5 3" xfId="1453" xr:uid="{00000000-0005-0000-0000-0000891B0000}"/>
    <cellStyle name="Linked Cell 6" xfId="901" xr:uid="{00000000-0005-0000-0000-00008A1B0000}"/>
    <cellStyle name="Linked Cell 6 2" xfId="1549" xr:uid="{00000000-0005-0000-0000-00008B1B0000}"/>
    <cellStyle name="Linked Cell 6 2 2" xfId="3033" xr:uid="{00000000-0005-0000-0000-00008C1B0000}"/>
    <cellStyle name="Linked Cell 6 3" xfId="1880" xr:uid="{00000000-0005-0000-0000-00008D1B0000}"/>
    <cellStyle name="Linked Cell 7" xfId="902" xr:uid="{00000000-0005-0000-0000-00008E1B0000}"/>
    <cellStyle name="Linked Cell 7 2" xfId="1550" xr:uid="{00000000-0005-0000-0000-00008F1B0000}"/>
    <cellStyle name="Linked Cell 7 2 2" xfId="3034" xr:uid="{00000000-0005-0000-0000-0000901B0000}"/>
    <cellStyle name="Linked Cell 7 3" xfId="1840" xr:uid="{00000000-0005-0000-0000-0000911B0000}"/>
    <cellStyle name="Linked Cell 8" xfId="903" xr:uid="{00000000-0005-0000-0000-0000921B0000}"/>
    <cellStyle name="Linked Cell 8 2" xfId="1551" xr:uid="{00000000-0005-0000-0000-0000931B0000}"/>
    <cellStyle name="Linked Cell 8 2 2" xfId="3035" xr:uid="{00000000-0005-0000-0000-0000941B0000}"/>
    <cellStyle name="Linked Cell 8 3" xfId="1961" xr:uid="{00000000-0005-0000-0000-0000951B0000}"/>
    <cellStyle name="Linked Cell 9" xfId="904" xr:uid="{00000000-0005-0000-0000-0000961B0000}"/>
    <cellStyle name="Linked Cell 9 2" xfId="1552" xr:uid="{00000000-0005-0000-0000-0000971B0000}"/>
    <cellStyle name="Linked Cell 9 2 2" xfId="3036" xr:uid="{00000000-0005-0000-0000-0000981B0000}"/>
    <cellStyle name="Linked Cell 9 3" xfId="1641" xr:uid="{00000000-0005-0000-0000-0000991B0000}"/>
    <cellStyle name="Neutral" xfId="101" builtinId="28" customBuiltin="1"/>
    <cellStyle name="Neutral 10" xfId="905" xr:uid="{00000000-0005-0000-0000-00009B1B0000}"/>
    <cellStyle name="Neutral 11" xfId="906" xr:uid="{00000000-0005-0000-0000-00009C1B0000}"/>
    <cellStyle name="Neutral 12" xfId="907" xr:uid="{00000000-0005-0000-0000-00009D1B0000}"/>
    <cellStyle name="Neutral 13" xfId="908" xr:uid="{00000000-0005-0000-0000-00009E1B0000}"/>
    <cellStyle name="Neutral 14" xfId="909" xr:uid="{00000000-0005-0000-0000-00009F1B0000}"/>
    <cellStyle name="Neutral 15" xfId="910" xr:uid="{00000000-0005-0000-0000-0000A01B0000}"/>
    <cellStyle name="Neutral 16" xfId="911" xr:uid="{00000000-0005-0000-0000-0000A11B0000}"/>
    <cellStyle name="Neutral 17" xfId="912" xr:uid="{00000000-0005-0000-0000-0000A21B0000}"/>
    <cellStyle name="Neutral 18" xfId="913" xr:uid="{00000000-0005-0000-0000-0000A31B0000}"/>
    <cellStyle name="Neutral 19" xfId="914" xr:uid="{00000000-0005-0000-0000-0000A41B0000}"/>
    <cellStyle name="Neutral 2" xfId="184" xr:uid="{00000000-0005-0000-0000-0000A51B0000}"/>
    <cellStyle name="Neutral 3" xfId="915" xr:uid="{00000000-0005-0000-0000-0000A61B0000}"/>
    <cellStyle name="Neutral 4" xfId="916" xr:uid="{00000000-0005-0000-0000-0000A71B0000}"/>
    <cellStyle name="Neutral 5" xfId="917" xr:uid="{00000000-0005-0000-0000-0000A81B0000}"/>
    <cellStyle name="Neutral 6" xfId="918" xr:uid="{00000000-0005-0000-0000-0000A91B0000}"/>
    <cellStyle name="Neutral 7" xfId="919" xr:uid="{00000000-0005-0000-0000-0000AA1B0000}"/>
    <cellStyle name="Neutral 8" xfId="920" xr:uid="{00000000-0005-0000-0000-0000AB1B0000}"/>
    <cellStyle name="Neutral 9" xfId="921" xr:uid="{00000000-0005-0000-0000-0000AC1B0000}"/>
    <cellStyle name="Normal" xfId="0" builtinId="0"/>
    <cellStyle name="Normal - Style1" xfId="15" xr:uid="{00000000-0005-0000-0000-0000AE1B0000}"/>
    <cellStyle name="Normal 10" xfId="31" xr:uid="{00000000-0005-0000-0000-0000AF1B0000}"/>
    <cellStyle name="Normal 10 2" xfId="90" xr:uid="{00000000-0005-0000-0000-0000B01B0000}"/>
    <cellStyle name="Normal 10 2 2" xfId="923" xr:uid="{00000000-0005-0000-0000-0000B11B0000}"/>
    <cellStyle name="Normal 10 3" xfId="922" xr:uid="{00000000-0005-0000-0000-0000B21B0000}"/>
    <cellStyle name="Normal 11" xfId="52" xr:uid="{00000000-0005-0000-0000-0000B31B0000}"/>
    <cellStyle name="Normal 11 2" xfId="91" xr:uid="{00000000-0005-0000-0000-0000B41B0000}"/>
    <cellStyle name="Normal 11 2 2" xfId="925" xr:uid="{00000000-0005-0000-0000-0000B51B0000}"/>
    <cellStyle name="Normal 11 3" xfId="924" xr:uid="{00000000-0005-0000-0000-0000B61B0000}"/>
    <cellStyle name="Normal 12" xfId="59" xr:uid="{00000000-0005-0000-0000-0000B71B0000}"/>
    <cellStyle name="Normal 12 2" xfId="92" xr:uid="{00000000-0005-0000-0000-0000B81B0000}"/>
    <cellStyle name="Normal 12 2 2" xfId="927" xr:uid="{00000000-0005-0000-0000-0000B91B0000}"/>
    <cellStyle name="Normal 12 3" xfId="926" xr:uid="{00000000-0005-0000-0000-0000BA1B0000}"/>
    <cellStyle name="Normal 13" xfId="60" xr:uid="{00000000-0005-0000-0000-0000BB1B0000}"/>
    <cellStyle name="Normal 13 2" xfId="929" xr:uid="{00000000-0005-0000-0000-0000BC1B0000}"/>
    <cellStyle name="Normal 13 3" xfId="928" xr:uid="{00000000-0005-0000-0000-0000BD1B0000}"/>
    <cellStyle name="Normal 14" xfId="61" xr:uid="{00000000-0005-0000-0000-0000BE1B0000}"/>
    <cellStyle name="Normal 14 2" xfId="930" xr:uid="{00000000-0005-0000-0000-0000BF1B0000}"/>
    <cellStyle name="Normal 15" xfId="62" xr:uid="{00000000-0005-0000-0000-0000C01B0000}"/>
    <cellStyle name="Normal 15 2" xfId="931" xr:uid="{00000000-0005-0000-0000-0000C11B0000}"/>
    <cellStyle name="Normal 16" xfId="63" xr:uid="{00000000-0005-0000-0000-0000C21B0000}"/>
    <cellStyle name="Normal 16 2" xfId="932" xr:uid="{00000000-0005-0000-0000-0000C31B0000}"/>
    <cellStyle name="Normal 17" xfId="64" xr:uid="{00000000-0005-0000-0000-0000C41B0000}"/>
    <cellStyle name="Normal 17 2" xfId="933" xr:uid="{00000000-0005-0000-0000-0000C51B0000}"/>
    <cellStyle name="Normal 18" xfId="65" xr:uid="{00000000-0005-0000-0000-0000C61B0000}"/>
    <cellStyle name="Normal 18 2" xfId="934" xr:uid="{00000000-0005-0000-0000-0000C71B0000}"/>
    <cellStyle name="Normal 19" xfId="66" xr:uid="{00000000-0005-0000-0000-0000C81B0000}"/>
    <cellStyle name="Normal 19 2" xfId="935" xr:uid="{00000000-0005-0000-0000-0000C91B0000}"/>
    <cellStyle name="Normal 2" xfId="21" xr:uid="{00000000-0005-0000-0000-0000CA1B0000}"/>
    <cellStyle name="Normal 2 10" xfId="146" xr:uid="{00000000-0005-0000-0000-0000CB1B0000}"/>
    <cellStyle name="Normal 2 2" xfId="40" xr:uid="{00000000-0005-0000-0000-0000CC1B0000}"/>
    <cellStyle name="Normal 2 2 2" xfId="93" xr:uid="{00000000-0005-0000-0000-0000CD1B0000}"/>
    <cellStyle name="Normal 2 3" xfId="83" xr:uid="{00000000-0005-0000-0000-0000CE1B0000}"/>
    <cellStyle name="Normal 2 3 2" xfId="1134" xr:uid="{00000000-0005-0000-0000-0000CF1B0000}"/>
    <cellStyle name="Normal 2 3 2 2" xfId="1687" xr:uid="{00000000-0005-0000-0000-0000D01B0000}"/>
    <cellStyle name="Normal 2 3 2 2 2" xfId="3165" xr:uid="{00000000-0005-0000-0000-0000D11B0000}"/>
    <cellStyle name="Normal 2 3 2 3" xfId="2661" xr:uid="{00000000-0005-0000-0000-0000D21B0000}"/>
    <cellStyle name="Normal 2 3 3" xfId="1299" xr:uid="{00000000-0005-0000-0000-0000D31B0000}"/>
    <cellStyle name="Normal 2 3 3 2" xfId="2799" xr:uid="{00000000-0005-0000-0000-0000D41B0000}"/>
    <cellStyle name="Normal 2 3 4" xfId="2552" xr:uid="{00000000-0005-0000-0000-0000D51B0000}"/>
    <cellStyle name="Normal 2 3 5" xfId="209" xr:uid="{00000000-0005-0000-0000-0000D61B0000}"/>
    <cellStyle name="Normal 2 4" xfId="78" xr:uid="{00000000-0005-0000-0000-0000D71B0000}"/>
    <cellStyle name="Normal 2 4 2" xfId="213" xr:uid="{00000000-0005-0000-0000-0000D81B0000}"/>
    <cellStyle name="Normal 2 5" xfId="1109" xr:uid="{00000000-0005-0000-0000-0000D91B0000}"/>
    <cellStyle name="Normal 2 5 2" xfId="1265" xr:uid="{00000000-0005-0000-0000-0000DA1B0000}"/>
    <cellStyle name="Normal 2 5 2 2" xfId="1803" xr:uid="{00000000-0005-0000-0000-0000DB1B0000}"/>
    <cellStyle name="Normal 2 5 2 2 2" xfId="3280" xr:uid="{00000000-0005-0000-0000-0000DC1B0000}"/>
    <cellStyle name="Normal 2 5 2 3" xfId="2766" xr:uid="{00000000-0005-0000-0000-0000DD1B0000}"/>
    <cellStyle name="Normal 2 5 3" xfId="1666" xr:uid="{00000000-0005-0000-0000-0000DE1B0000}"/>
    <cellStyle name="Normal 2 5 3 2" xfId="3144" xr:uid="{00000000-0005-0000-0000-0000DF1B0000}"/>
    <cellStyle name="Normal 2 5 4" xfId="2647" xr:uid="{00000000-0005-0000-0000-0000E01B0000}"/>
    <cellStyle name="Normal 2 6" xfId="1116" xr:uid="{00000000-0005-0000-0000-0000E11B0000}"/>
    <cellStyle name="Normal 2 7" xfId="1121" xr:uid="{00000000-0005-0000-0000-0000E21B0000}"/>
    <cellStyle name="Normal 2 7 2" xfId="1676" xr:uid="{00000000-0005-0000-0000-0000E31B0000}"/>
    <cellStyle name="Normal 2 7 2 2" xfId="3154" xr:uid="{00000000-0005-0000-0000-0000E41B0000}"/>
    <cellStyle name="Normal 2 7 3" xfId="2654" xr:uid="{00000000-0005-0000-0000-0000E51B0000}"/>
    <cellStyle name="Normal 2 8" xfId="1272" xr:uid="{00000000-0005-0000-0000-0000E61B0000}"/>
    <cellStyle name="Normal 2 8 2" xfId="2773" xr:uid="{00000000-0005-0000-0000-0000E71B0000}"/>
    <cellStyle name="Normal 2 9" xfId="2545" xr:uid="{00000000-0005-0000-0000-0000E81B0000}"/>
    <cellStyle name="Normal 20" xfId="67" xr:uid="{00000000-0005-0000-0000-0000E91B0000}"/>
    <cellStyle name="Normal 20 2" xfId="936" xr:uid="{00000000-0005-0000-0000-0000EA1B0000}"/>
    <cellStyle name="Normal 21" xfId="68" xr:uid="{00000000-0005-0000-0000-0000EB1B0000}"/>
    <cellStyle name="Normal 21 2" xfId="938" xr:uid="{00000000-0005-0000-0000-0000EC1B0000}"/>
    <cellStyle name="Normal 21 3" xfId="937" xr:uid="{00000000-0005-0000-0000-0000ED1B0000}"/>
    <cellStyle name="Normal 22" xfId="69" xr:uid="{00000000-0005-0000-0000-0000EE1B0000}"/>
    <cellStyle name="Normal 22 2" xfId="940" xr:uid="{00000000-0005-0000-0000-0000EF1B0000}"/>
    <cellStyle name="Normal 22 3" xfId="939" xr:uid="{00000000-0005-0000-0000-0000F01B0000}"/>
    <cellStyle name="Normal 23" xfId="70" xr:uid="{00000000-0005-0000-0000-0000F11B0000}"/>
    <cellStyle name="Normal 23 2" xfId="941" xr:uid="{00000000-0005-0000-0000-0000F21B0000}"/>
    <cellStyle name="Normal 24" xfId="71" xr:uid="{00000000-0005-0000-0000-0000F31B0000}"/>
    <cellStyle name="Normal 24 2" xfId="942" xr:uid="{00000000-0005-0000-0000-0000F41B0000}"/>
    <cellStyle name="Normal 25" xfId="75" xr:uid="{00000000-0005-0000-0000-0000F51B0000}"/>
    <cellStyle name="Normal 25 2" xfId="943" xr:uid="{00000000-0005-0000-0000-0000F61B0000}"/>
    <cellStyle name="Normal 26" xfId="77" xr:uid="{00000000-0005-0000-0000-0000F71B0000}"/>
    <cellStyle name="Normal 26 2" xfId="944" xr:uid="{00000000-0005-0000-0000-0000F81B0000}"/>
    <cellStyle name="Normal 27" xfId="133" xr:uid="{00000000-0005-0000-0000-0000F91B0000}"/>
    <cellStyle name="Normal 27 2" xfId="945" xr:uid="{00000000-0005-0000-0000-0000FA1B0000}"/>
    <cellStyle name="Normal 28" xfId="136" xr:uid="{00000000-0005-0000-0000-0000FB1B0000}"/>
    <cellStyle name="Normal 28 2" xfId="946" xr:uid="{00000000-0005-0000-0000-0000FC1B0000}"/>
    <cellStyle name="Normal 29" xfId="139" xr:uid="{00000000-0005-0000-0000-0000FD1B0000}"/>
    <cellStyle name="Normal 29 2" xfId="948" xr:uid="{00000000-0005-0000-0000-0000FE1B0000}"/>
    <cellStyle name="Normal 29 2 2" xfId="1203" xr:uid="{00000000-0005-0000-0000-0000FF1B0000}"/>
    <cellStyle name="Normal 29 3" xfId="1202" xr:uid="{00000000-0005-0000-0000-0000001C0000}"/>
    <cellStyle name="Normal 3" xfId="23" xr:uid="{00000000-0005-0000-0000-0000011C0000}"/>
    <cellStyle name="Normal 3 2" xfId="54" xr:uid="{00000000-0005-0000-0000-0000021C0000}"/>
    <cellStyle name="Normal 3 2 2" xfId="94" xr:uid="{00000000-0005-0000-0000-0000031C0000}"/>
    <cellStyle name="Normal 3 3" xfId="84" xr:uid="{00000000-0005-0000-0000-0000041C0000}"/>
    <cellStyle name="Normal 3 3 2" xfId="949" xr:uid="{00000000-0005-0000-0000-0000051C0000}"/>
    <cellStyle name="Normal 3 4" xfId="80" xr:uid="{00000000-0005-0000-0000-0000061C0000}"/>
    <cellStyle name="Normal 3 4 2" xfId="1264" xr:uid="{00000000-0005-0000-0000-0000071C0000}"/>
    <cellStyle name="Normal 3 4 2 2" xfId="1802" xr:uid="{00000000-0005-0000-0000-0000081C0000}"/>
    <cellStyle name="Normal 3 4 2 2 2" xfId="3279" xr:uid="{00000000-0005-0000-0000-0000091C0000}"/>
    <cellStyle name="Normal 3 4 2 3" xfId="2765" xr:uid="{00000000-0005-0000-0000-00000A1C0000}"/>
    <cellStyle name="Normal 3 4 3" xfId="1665" xr:uid="{00000000-0005-0000-0000-00000B1C0000}"/>
    <cellStyle name="Normal 3 4 3 2" xfId="3143" xr:uid="{00000000-0005-0000-0000-00000C1C0000}"/>
    <cellStyle name="Normal 3 4 4" xfId="2646" xr:uid="{00000000-0005-0000-0000-00000D1C0000}"/>
    <cellStyle name="Normal 3 4 5" xfId="1108" xr:uid="{00000000-0005-0000-0000-00000E1C0000}"/>
    <cellStyle name="Normal 30" xfId="140" xr:uid="{00000000-0005-0000-0000-00000F1C0000}"/>
    <cellStyle name="Normal 30 2" xfId="950" xr:uid="{00000000-0005-0000-0000-0000101C0000}"/>
    <cellStyle name="Normal 30 2 2" xfId="1204" xr:uid="{00000000-0005-0000-0000-0000111C0000}"/>
    <cellStyle name="Normal 30 3" xfId="1132" xr:uid="{00000000-0005-0000-0000-0000121C0000}"/>
    <cellStyle name="Normal 31" xfId="141" xr:uid="{00000000-0005-0000-0000-0000131C0000}"/>
    <cellStyle name="Normal 31 2" xfId="951" xr:uid="{00000000-0005-0000-0000-0000141C0000}"/>
    <cellStyle name="Normal 32" xfId="142" xr:uid="{00000000-0005-0000-0000-0000151C0000}"/>
    <cellStyle name="Normal 32 2" xfId="953" xr:uid="{00000000-0005-0000-0000-0000161C0000}"/>
    <cellStyle name="Normal 32 3" xfId="952" xr:uid="{00000000-0005-0000-0000-0000171C0000}"/>
    <cellStyle name="Normal 33" xfId="143" xr:uid="{00000000-0005-0000-0000-0000181C0000}"/>
    <cellStyle name="Normal 33 2" xfId="955" xr:uid="{00000000-0005-0000-0000-0000191C0000}"/>
    <cellStyle name="Normal 33 2 2" xfId="1206" xr:uid="{00000000-0005-0000-0000-00001A1C0000}"/>
    <cellStyle name="Normal 33 3" xfId="1205" xr:uid="{00000000-0005-0000-0000-00001B1C0000}"/>
    <cellStyle name="Normal 33 4" xfId="954" xr:uid="{00000000-0005-0000-0000-00001C1C0000}"/>
    <cellStyle name="Normal 34" xfId="144" xr:uid="{00000000-0005-0000-0000-00001D1C0000}"/>
    <cellStyle name="Normal 34 2" xfId="956" xr:uid="{00000000-0005-0000-0000-00001E1C0000}"/>
    <cellStyle name="Normal 35" xfId="957" xr:uid="{00000000-0005-0000-0000-00001F1C0000}"/>
    <cellStyle name="Normal 36" xfId="958" xr:uid="{00000000-0005-0000-0000-0000201C0000}"/>
    <cellStyle name="Normal 37" xfId="959" xr:uid="{00000000-0005-0000-0000-0000211C0000}"/>
    <cellStyle name="Normal 37 2" xfId="960" xr:uid="{00000000-0005-0000-0000-0000221C0000}"/>
    <cellStyle name="Normal 37 2 2" xfId="1208" xr:uid="{00000000-0005-0000-0000-0000231C0000}"/>
    <cellStyle name="Normal 37 3" xfId="1207" xr:uid="{00000000-0005-0000-0000-0000241C0000}"/>
    <cellStyle name="Normal 38" xfId="961" xr:uid="{00000000-0005-0000-0000-0000251C0000}"/>
    <cellStyle name="Normal 38 2" xfId="962" xr:uid="{00000000-0005-0000-0000-0000261C0000}"/>
    <cellStyle name="Normal 38 2 2" xfId="1210" xr:uid="{00000000-0005-0000-0000-0000271C0000}"/>
    <cellStyle name="Normal 38 3" xfId="1209" xr:uid="{00000000-0005-0000-0000-0000281C0000}"/>
    <cellStyle name="Normal 39" xfId="963" xr:uid="{00000000-0005-0000-0000-0000291C0000}"/>
    <cellStyle name="Normal 39 2" xfId="1211" xr:uid="{00000000-0005-0000-0000-00002A1C0000}"/>
    <cellStyle name="Normal 39 2 2" xfId="1752" xr:uid="{00000000-0005-0000-0000-00002B1C0000}"/>
    <cellStyle name="Normal 39 2 2 2" xfId="3229" xr:uid="{00000000-0005-0000-0000-00002C1C0000}"/>
    <cellStyle name="Normal 39 2 3" xfId="2717" xr:uid="{00000000-0005-0000-0000-00002D1C0000}"/>
    <cellStyle name="Normal 39 3" xfId="1569" xr:uid="{00000000-0005-0000-0000-00002E1C0000}"/>
    <cellStyle name="Normal 39 3 2" xfId="3052" xr:uid="{00000000-0005-0000-0000-00002F1C0000}"/>
    <cellStyle name="Normal 39 4" xfId="2598" xr:uid="{00000000-0005-0000-0000-0000301C0000}"/>
    <cellStyle name="Normal 4" xfId="24" xr:uid="{00000000-0005-0000-0000-0000311C0000}"/>
    <cellStyle name="Normal 4 2" xfId="85" xr:uid="{00000000-0005-0000-0000-0000321C0000}"/>
    <cellStyle name="Normal 4 2 2" xfId="1119" xr:uid="{00000000-0005-0000-0000-0000331C0000}"/>
    <cellStyle name="Normal 4 3" xfId="185" xr:uid="{00000000-0005-0000-0000-0000341C0000}"/>
    <cellStyle name="Normal 40" xfId="964" xr:uid="{00000000-0005-0000-0000-0000351C0000}"/>
    <cellStyle name="Normal 40 2" xfId="1212" xr:uid="{00000000-0005-0000-0000-0000361C0000}"/>
    <cellStyle name="Normal 40 2 2" xfId="1753" xr:uid="{00000000-0005-0000-0000-0000371C0000}"/>
    <cellStyle name="Normal 40 2 2 2" xfId="3230" xr:uid="{00000000-0005-0000-0000-0000381C0000}"/>
    <cellStyle name="Normal 40 2 3" xfId="2718" xr:uid="{00000000-0005-0000-0000-0000391C0000}"/>
    <cellStyle name="Normal 40 3" xfId="1570" xr:uid="{00000000-0005-0000-0000-00003A1C0000}"/>
    <cellStyle name="Normal 40 3 2" xfId="3053" xr:uid="{00000000-0005-0000-0000-00003B1C0000}"/>
    <cellStyle name="Normal 40 4" xfId="2599" xr:uid="{00000000-0005-0000-0000-00003C1C0000}"/>
    <cellStyle name="Normal 41" xfId="965" xr:uid="{00000000-0005-0000-0000-00003D1C0000}"/>
    <cellStyle name="Normal 41 2" xfId="1213" xr:uid="{00000000-0005-0000-0000-00003E1C0000}"/>
    <cellStyle name="Normal 41 2 2" xfId="1754" xr:uid="{00000000-0005-0000-0000-00003F1C0000}"/>
    <cellStyle name="Normal 41 2 2 2" xfId="3231" xr:uid="{00000000-0005-0000-0000-0000401C0000}"/>
    <cellStyle name="Normal 41 2 3" xfId="2719" xr:uid="{00000000-0005-0000-0000-0000411C0000}"/>
    <cellStyle name="Normal 41 3" xfId="1571" xr:uid="{00000000-0005-0000-0000-0000421C0000}"/>
    <cellStyle name="Normal 41 3 2" xfId="3054" xr:uid="{00000000-0005-0000-0000-0000431C0000}"/>
    <cellStyle name="Normal 41 4" xfId="2600" xr:uid="{00000000-0005-0000-0000-0000441C0000}"/>
    <cellStyle name="Normal 42" xfId="966" xr:uid="{00000000-0005-0000-0000-0000451C0000}"/>
    <cellStyle name="Normal 42 2" xfId="1214" xr:uid="{00000000-0005-0000-0000-0000461C0000}"/>
    <cellStyle name="Normal 43" xfId="1096" xr:uid="{00000000-0005-0000-0000-0000471C0000}"/>
    <cellStyle name="Normal 43 2" xfId="1256" xr:uid="{00000000-0005-0000-0000-0000481C0000}"/>
    <cellStyle name="Normal 43 2 2" xfId="1794" xr:uid="{00000000-0005-0000-0000-0000491C0000}"/>
    <cellStyle name="Normal 43 2 2 2" xfId="3271" xr:uid="{00000000-0005-0000-0000-00004A1C0000}"/>
    <cellStyle name="Normal 43 2 3" xfId="2758" xr:uid="{00000000-0005-0000-0000-00004B1C0000}"/>
    <cellStyle name="Normal 43 3" xfId="1654" xr:uid="{00000000-0005-0000-0000-00004C1C0000}"/>
    <cellStyle name="Normal 43 3 2" xfId="3132" xr:uid="{00000000-0005-0000-0000-00004D1C0000}"/>
    <cellStyle name="Normal 43 4" xfId="2639" xr:uid="{00000000-0005-0000-0000-00004E1C0000}"/>
    <cellStyle name="Normal 44" xfId="1097" xr:uid="{00000000-0005-0000-0000-00004F1C0000}"/>
    <cellStyle name="Normal 44 2" xfId="1257" xr:uid="{00000000-0005-0000-0000-0000501C0000}"/>
    <cellStyle name="Normal 44 2 2" xfId="1795" xr:uid="{00000000-0005-0000-0000-0000511C0000}"/>
    <cellStyle name="Normal 44 2 2 2" xfId="3272" xr:uid="{00000000-0005-0000-0000-0000521C0000}"/>
    <cellStyle name="Normal 44 2 3" xfId="2759" xr:uid="{00000000-0005-0000-0000-0000531C0000}"/>
    <cellStyle name="Normal 44 3" xfId="1655" xr:uid="{00000000-0005-0000-0000-0000541C0000}"/>
    <cellStyle name="Normal 44 3 2" xfId="3133" xr:uid="{00000000-0005-0000-0000-0000551C0000}"/>
    <cellStyle name="Normal 44 4" xfId="2640" xr:uid="{00000000-0005-0000-0000-0000561C0000}"/>
    <cellStyle name="Normal 45" xfId="1098" xr:uid="{00000000-0005-0000-0000-0000571C0000}"/>
    <cellStyle name="Normal 45 2" xfId="1099" xr:uid="{00000000-0005-0000-0000-0000581C0000}"/>
    <cellStyle name="Normal 46" xfId="1100" xr:uid="{00000000-0005-0000-0000-0000591C0000}"/>
    <cellStyle name="Normal 46 2" xfId="1258" xr:uid="{00000000-0005-0000-0000-00005A1C0000}"/>
    <cellStyle name="Normal 47" xfId="1103" xr:uid="{00000000-0005-0000-0000-00005B1C0000}"/>
    <cellStyle name="Normal 47 2" xfId="1259" xr:uid="{00000000-0005-0000-0000-00005C1C0000}"/>
    <cellStyle name="Normal 47 2 2" xfId="1797" xr:uid="{00000000-0005-0000-0000-00005D1C0000}"/>
    <cellStyle name="Normal 47 2 2 2" xfId="3274" xr:uid="{00000000-0005-0000-0000-00005E1C0000}"/>
    <cellStyle name="Normal 47 2 3" xfId="2760" xr:uid="{00000000-0005-0000-0000-00005F1C0000}"/>
    <cellStyle name="Normal 47 3" xfId="1660" xr:uid="{00000000-0005-0000-0000-0000601C0000}"/>
    <cellStyle name="Normal 47 3 2" xfId="3138" xr:uid="{00000000-0005-0000-0000-0000611C0000}"/>
    <cellStyle name="Normal 47 4" xfId="2641" xr:uid="{00000000-0005-0000-0000-0000621C0000}"/>
    <cellStyle name="Normal 48" xfId="1107" xr:uid="{00000000-0005-0000-0000-0000631C0000}"/>
    <cellStyle name="Normal 48 2" xfId="1263" xr:uid="{00000000-0005-0000-0000-0000641C0000}"/>
    <cellStyle name="Normal 48 2 2" xfId="1801" xr:uid="{00000000-0005-0000-0000-0000651C0000}"/>
    <cellStyle name="Normal 48 2 2 2" xfId="3278" xr:uid="{00000000-0005-0000-0000-0000661C0000}"/>
    <cellStyle name="Normal 48 2 3" xfId="2764" xr:uid="{00000000-0005-0000-0000-0000671C0000}"/>
    <cellStyle name="Normal 48 3" xfId="1664" xr:uid="{00000000-0005-0000-0000-0000681C0000}"/>
    <cellStyle name="Normal 48 3 2" xfId="3142" xr:uid="{00000000-0005-0000-0000-0000691C0000}"/>
    <cellStyle name="Normal 48 4" xfId="2645" xr:uid="{00000000-0005-0000-0000-00006A1C0000}"/>
    <cellStyle name="Normal 49" xfId="1113" xr:uid="{00000000-0005-0000-0000-00006B1C0000}"/>
    <cellStyle name="Normal 49 2" xfId="1267" xr:uid="{00000000-0005-0000-0000-00006C1C0000}"/>
    <cellStyle name="Normal 49 2 2" xfId="1805" xr:uid="{00000000-0005-0000-0000-00006D1C0000}"/>
    <cellStyle name="Normal 49 2 2 2" xfId="3282" xr:uid="{00000000-0005-0000-0000-00006E1C0000}"/>
    <cellStyle name="Normal 49 2 3" xfId="2768" xr:uid="{00000000-0005-0000-0000-00006F1C0000}"/>
    <cellStyle name="Normal 49 3" xfId="1670" xr:uid="{00000000-0005-0000-0000-0000701C0000}"/>
    <cellStyle name="Normal 49 3 2" xfId="3148" xr:uid="{00000000-0005-0000-0000-0000711C0000}"/>
    <cellStyle name="Normal 49 4" xfId="2649" xr:uid="{00000000-0005-0000-0000-0000721C0000}"/>
    <cellStyle name="Normal 5" xfId="25" xr:uid="{00000000-0005-0000-0000-0000731C0000}"/>
    <cellStyle name="Normal 5 2" xfId="86" xr:uid="{00000000-0005-0000-0000-0000741C0000}"/>
    <cellStyle name="Normal 5 2 2" xfId="203" xr:uid="{00000000-0005-0000-0000-0000751C0000}"/>
    <cellStyle name="Normal 5 3" xfId="186" xr:uid="{00000000-0005-0000-0000-0000761C0000}"/>
    <cellStyle name="Normal 50" xfId="1117" xr:uid="{00000000-0005-0000-0000-0000771C0000}"/>
    <cellStyle name="Normal 50 2" xfId="1270" xr:uid="{00000000-0005-0000-0000-0000781C0000}"/>
    <cellStyle name="Normal 50 2 2" xfId="1808" xr:uid="{00000000-0005-0000-0000-0000791C0000}"/>
    <cellStyle name="Normal 50 2 2 2" xfId="3285" xr:uid="{00000000-0005-0000-0000-00007A1C0000}"/>
    <cellStyle name="Normal 50 2 3" xfId="2771" xr:uid="{00000000-0005-0000-0000-00007B1C0000}"/>
    <cellStyle name="Normal 50 3" xfId="1673" xr:uid="{00000000-0005-0000-0000-00007C1C0000}"/>
    <cellStyle name="Normal 50 3 2" xfId="3151" xr:uid="{00000000-0005-0000-0000-00007D1C0000}"/>
    <cellStyle name="Normal 50 4" xfId="2652" xr:uid="{00000000-0005-0000-0000-00007E1C0000}"/>
    <cellStyle name="Normal 51" xfId="1118" xr:uid="{00000000-0005-0000-0000-00007F1C0000}"/>
    <cellStyle name="Normal 51 2" xfId="1271" xr:uid="{00000000-0005-0000-0000-0000801C0000}"/>
    <cellStyle name="Normal 51 2 2" xfId="1809" xr:uid="{00000000-0005-0000-0000-0000811C0000}"/>
    <cellStyle name="Normal 51 2 2 2" xfId="3286" xr:uid="{00000000-0005-0000-0000-0000821C0000}"/>
    <cellStyle name="Normal 51 2 3" xfId="2772" xr:uid="{00000000-0005-0000-0000-0000831C0000}"/>
    <cellStyle name="Normal 51 3" xfId="1674" xr:uid="{00000000-0005-0000-0000-0000841C0000}"/>
    <cellStyle name="Normal 51 3 2" xfId="3152" xr:uid="{00000000-0005-0000-0000-0000851C0000}"/>
    <cellStyle name="Normal 51 4" xfId="2653" xr:uid="{00000000-0005-0000-0000-0000861C0000}"/>
    <cellStyle name="Normal 52" xfId="4000" xr:uid="{00000000-0005-0000-0000-0000871C0000}"/>
    <cellStyle name="Normal 53" xfId="4001" xr:uid="{00000000-0005-0000-0000-0000881C0000}"/>
    <cellStyle name="Normal 54" xfId="4002" xr:uid="{00000000-0005-0000-0000-0000891C0000}"/>
    <cellStyle name="Normal 55" xfId="4003" xr:uid="{00000000-0005-0000-0000-00008A1C0000}"/>
    <cellStyle name="Normal 56" xfId="4004" xr:uid="{00000000-0005-0000-0000-00008B1C0000}"/>
    <cellStyle name="Normal 57" xfId="4005" xr:uid="{00000000-0005-0000-0000-00008C1C0000}"/>
    <cellStyle name="Normal 58" xfId="4006" xr:uid="{00000000-0005-0000-0000-00008D1C0000}"/>
    <cellStyle name="Normal 59" xfId="4007" xr:uid="{00000000-0005-0000-0000-00008E1C0000}"/>
    <cellStyle name="Normal 6" xfId="26" xr:uid="{00000000-0005-0000-0000-00008F1C0000}"/>
    <cellStyle name="Normal 6 2" xfId="87" xr:uid="{00000000-0005-0000-0000-0000901C0000}"/>
    <cellStyle name="Normal 6 2 2" xfId="967" xr:uid="{00000000-0005-0000-0000-0000911C0000}"/>
    <cellStyle name="Normal 6 3" xfId="1125" xr:uid="{00000000-0005-0000-0000-0000921C0000}"/>
    <cellStyle name="Normal 6 4" xfId="187" xr:uid="{00000000-0005-0000-0000-0000931C0000}"/>
    <cellStyle name="Normal 60" xfId="4008" xr:uid="{00000000-0005-0000-0000-0000941C0000}"/>
    <cellStyle name="Normal 61" xfId="4009" xr:uid="{00000000-0005-0000-0000-0000951C0000}"/>
    <cellStyle name="Normal 62" xfId="4010" xr:uid="{00000000-0005-0000-0000-0000961C0000}"/>
    <cellStyle name="Normal 63" xfId="4012" xr:uid="{00000000-0005-0000-0000-0000971C0000}"/>
    <cellStyle name="Normal 64" xfId="4013" xr:uid="{00000000-0005-0000-0000-0000981C0000}"/>
    <cellStyle name="Normal 65" xfId="4014" xr:uid="{00000000-0005-0000-0000-0000991C0000}"/>
    <cellStyle name="Normal 66" xfId="145" xr:uid="{00000000-0005-0000-0000-00009A1C0000}"/>
    <cellStyle name="Normal 67" xfId="1072" xr:uid="{00000000-0005-0000-0000-00009B1C0000}"/>
    <cellStyle name="Normal 68" xfId="4697" xr:uid="{00000000-0005-0000-0000-00009C1C0000}"/>
    <cellStyle name="Normal 69" xfId="4233" xr:uid="{00000000-0005-0000-0000-00009D1C0000}"/>
    <cellStyle name="Normal 7" xfId="28" xr:uid="{00000000-0005-0000-0000-00009E1C0000}"/>
    <cellStyle name="Normal 7 2" xfId="56" xr:uid="{00000000-0005-0000-0000-00009F1C0000}"/>
    <cellStyle name="Normal 7 2 2" xfId="968" xr:uid="{00000000-0005-0000-0000-0000A01C0000}"/>
    <cellStyle name="Normal 7 3" xfId="88" xr:uid="{00000000-0005-0000-0000-0000A11C0000}"/>
    <cellStyle name="Normal 7 3 2" xfId="1684" xr:uid="{00000000-0005-0000-0000-0000A21C0000}"/>
    <cellStyle name="Normal 7 3 2 2" xfId="3162" xr:uid="{00000000-0005-0000-0000-0000A31C0000}"/>
    <cellStyle name="Normal 7 3 3" xfId="2660" xr:uid="{00000000-0005-0000-0000-0000A41C0000}"/>
    <cellStyle name="Normal 7 3 4" xfId="1129" xr:uid="{00000000-0005-0000-0000-0000A51C0000}"/>
    <cellStyle name="Normal 7 4" xfId="1292" xr:uid="{00000000-0005-0000-0000-0000A61C0000}"/>
    <cellStyle name="Normal 7 4 2" xfId="2792" xr:uid="{00000000-0005-0000-0000-0000A71C0000}"/>
    <cellStyle name="Normal 7 5" xfId="2551" xr:uid="{00000000-0005-0000-0000-0000A81C0000}"/>
    <cellStyle name="Normal 7 6" xfId="194" xr:uid="{00000000-0005-0000-0000-0000A91C0000}"/>
    <cellStyle name="Normal 70" xfId="7983" xr:uid="{00000000-0005-0000-0000-0000AA1C0000}"/>
    <cellStyle name="Normal 8" xfId="29" xr:uid="{00000000-0005-0000-0000-0000AB1C0000}"/>
    <cellStyle name="Normal 8 2" xfId="57" xr:uid="{00000000-0005-0000-0000-0000AC1C0000}"/>
    <cellStyle name="Normal 8 2 2" xfId="969" xr:uid="{00000000-0005-0000-0000-0000AD1C0000}"/>
    <cellStyle name="Normal 8 3" xfId="89" xr:uid="{00000000-0005-0000-0000-0000AE1C0000}"/>
    <cellStyle name="Normal 8 4" xfId="210" xr:uid="{00000000-0005-0000-0000-0000AF1C0000}"/>
    <cellStyle name="Normal 9" xfId="30" xr:uid="{00000000-0005-0000-0000-0000B01C0000}"/>
    <cellStyle name="Normal 9 2" xfId="74" xr:uid="{00000000-0005-0000-0000-0000B11C0000}"/>
    <cellStyle name="Normal 9 2 2" xfId="970" xr:uid="{00000000-0005-0000-0000-0000B21C0000}"/>
    <cellStyle name="Normal 9 3" xfId="1115" xr:uid="{00000000-0005-0000-0000-0000B31C0000}"/>
    <cellStyle name="Normal 9 3 2" xfId="1269" xr:uid="{00000000-0005-0000-0000-0000B41C0000}"/>
    <cellStyle name="Normal 9 3 2 2" xfId="1807" xr:uid="{00000000-0005-0000-0000-0000B51C0000}"/>
    <cellStyle name="Normal 9 3 2 2 2" xfId="3284" xr:uid="{00000000-0005-0000-0000-0000B61C0000}"/>
    <cellStyle name="Normal 9 3 2 3" xfId="2770" xr:uid="{00000000-0005-0000-0000-0000B71C0000}"/>
    <cellStyle name="Normal 9 3 3" xfId="1672" xr:uid="{00000000-0005-0000-0000-0000B81C0000}"/>
    <cellStyle name="Normal 9 3 3 2" xfId="3150" xr:uid="{00000000-0005-0000-0000-0000B91C0000}"/>
    <cellStyle name="Normal 9 3 4" xfId="2651" xr:uid="{00000000-0005-0000-0000-0000BA1C0000}"/>
    <cellStyle name="Normal 9 4" xfId="1135" xr:uid="{00000000-0005-0000-0000-0000BB1C0000}"/>
    <cellStyle name="Normal 9 4 2" xfId="1688" xr:uid="{00000000-0005-0000-0000-0000BC1C0000}"/>
    <cellStyle name="Normal 9 4 2 2" xfId="3166" xr:uid="{00000000-0005-0000-0000-0000BD1C0000}"/>
    <cellStyle name="Normal 9 4 3" xfId="2662" xr:uid="{00000000-0005-0000-0000-0000BE1C0000}"/>
    <cellStyle name="Normal 9 5" xfId="1301" xr:uid="{00000000-0005-0000-0000-0000BF1C0000}"/>
    <cellStyle name="Normal 9 5 2" xfId="2801" xr:uid="{00000000-0005-0000-0000-0000C01C0000}"/>
    <cellStyle name="Normal 9 6" xfId="2553" xr:uid="{00000000-0005-0000-0000-0000C11C0000}"/>
    <cellStyle name="Normal 9 7" xfId="211" xr:uid="{00000000-0005-0000-0000-0000C21C0000}"/>
    <cellStyle name="Normal_JBC Monthly Report_PReed_Sept9" xfId="16" xr:uid="{00000000-0005-0000-0000-0000C31C0000}"/>
    <cellStyle name="Normal_MMEXP Caseload Prepared Sept5" xfId="17" xr:uid="{00000000-0005-0000-0000-0000C41C0000}"/>
    <cellStyle name="Note 10" xfId="971" xr:uid="{00000000-0005-0000-0000-0000C51C0000}"/>
    <cellStyle name="Note 10 2" xfId="1215" xr:uid="{00000000-0005-0000-0000-0000C61C0000}"/>
    <cellStyle name="Note 10 2 10" xfId="2458" xr:uid="{00000000-0005-0000-0000-0000C71C0000}"/>
    <cellStyle name="Note 10 2 10 2" xfId="3913" xr:uid="{00000000-0005-0000-0000-0000C81C0000}"/>
    <cellStyle name="Note 10 2 10 2 2" xfId="7483" xr:uid="{00000000-0005-0000-0000-0000C91C0000}"/>
    <cellStyle name="Note 10 2 10 2 3" xfId="9443" xr:uid="{00000000-0005-0000-0000-0000CA1C0000}"/>
    <cellStyle name="Note 10 2 10 2 4" xfId="10740" xr:uid="{00000000-0005-0000-0000-0000CB1C0000}"/>
    <cellStyle name="Note 10 2 10 3" xfId="6046" xr:uid="{00000000-0005-0000-0000-0000CC1C0000}"/>
    <cellStyle name="Note 10 2 10 4" xfId="8121" xr:uid="{00000000-0005-0000-0000-0000CD1C0000}"/>
    <cellStyle name="Note 10 2 10 5" xfId="6371" xr:uid="{00000000-0005-0000-0000-0000CE1C0000}"/>
    <cellStyle name="Note 10 2 10 6" xfId="11822" xr:uid="{00000000-0005-0000-0000-0000CF1C0000}"/>
    <cellStyle name="Note 10 2 11" xfId="2511" xr:uid="{00000000-0005-0000-0000-0000D01C0000}"/>
    <cellStyle name="Note 10 2 11 2" xfId="3966" xr:uid="{00000000-0005-0000-0000-0000D11C0000}"/>
    <cellStyle name="Note 10 2 11 2 2" xfId="7536" xr:uid="{00000000-0005-0000-0000-0000D21C0000}"/>
    <cellStyle name="Note 10 2 11 2 3" xfId="9496" xr:uid="{00000000-0005-0000-0000-0000D31C0000}"/>
    <cellStyle name="Note 10 2 11 2 4" xfId="10793" xr:uid="{00000000-0005-0000-0000-0000D41C0000}"/>
    <cellStyle name="Note 10 2 11 3" xfId="6099" xr:uid="{00000000-0005-0000-0000-0000D51C0000}"/>
    <cellStyle name="Note 10 2 11 4" xfId="8146" xr:uid="{00000000-0005-0000-0000-0000D61C0000}"/>
    <cellStyle name="Note 10 2 11 5" xfId="5260" xr:uid="{00000000-0005-0000-0000-0000D71C0000}"/>
    <cellStyle name="Note 10 2 11 6" xfId="11875" xr:uid="{00000000-0005-0000-0000-0000D81C0000}"/>
    <cellStyle name="Note 10 2 12" xfId="2720" xr:uid="{00000000-0005-0000-0000-0000D91C0000}"/>
    <cellStyle name="Note 10 2 12 2" xfId="6303" xr:uid="{00000000-0005-0000-0000-0000DA1C0000}"/>
    <cellStyle name="Note 10 2 12 3" xfId="8315" xr:uid="{00000000-0005-0000-0000-0000DB1C0000}"/>
    <cellStyle name="Note 10 2 12 4" xfId="9652" xr:uid="{00000000-0005-0000-0000-0000DC1C0000}"/>
    <cellStyle name="Note 10 2 13" xfId="4814" xr:uid="{00000000-0005-0000-0000-0000DD1C0000}"/>
    <cellStyle name="Note 10 2 14" xfId="4149" xr:uid="{00000000-0005-0000-0000-0000DE1C0000}"/>
    <cellStyle name="Note 10 2 15" xfId="7821" xr:uid="{00000000-0005-0000-0000-0000DF1C0000}"/>
    <cellStyle name="Note 10 2 2" xfId="1756" xr:uid="{00000000-0005-0000-0000-0000E01C0000}"/>
    <cellStyle name="Note 10 2 2 2" xfId="3233" xr:uid="{00000000-0005-0000-0000-0000E11C0000}"/>
    <cellStyle name="Note 10 2 2 2 2" xfId="6806" xr:uid="{00000000-0005-0000-0000-0000E21C0000}"/>
    <cellStyle name="Note 10 2 2 2 3" xfId="8782" xr:uid="{00000000-0005-0000-0000-0000E31C0000}"/>
    <cellStyle name="Note 10 2 2 2 4" xfId="10083" xr:uid="{00000000-0005-0000-0000-0000E41C0000}"/>
    <cellStyle name="Note 10 2 2 3" xfId="5348" xr:uid="{00000000-0005-0000-0000-0000E51C0000}"/>
    <cellStyle name="Note 10 2 2 4" xfId="5006" xr:uid="{00000000-0005-0000-0000-0000E61C0000}"/>
    <cellStyle name="Note 10 2 2 5" xfId="11160" xr:uid="{00000000-0005-0000-0000-0000E71C0000}"/>
    <cellStyle name="Note 10 2 3" xfId="1922" xr:uid="{00000000-0005-0000-0000-0000E81C0000}"/>
    <cellStyle name="Note 10 2 3 2" xfId="3386" xr:uid="{00000000-0005-0000-0000-0000E91C0000}"/>
    <cellStyle name="Note 10 2 3 2 2" xfId="6956" xr:uid="{00000000-0005-0000-0000-0000EA1C0000}"/>
    <cellStyle name="Note 10 2 3 2 3" xfId="8922" xr:uid="{00000000-0005-0000-0000-0000EB1C0000}"/>
    <cellStyle name="Note 10 2 3 2 4" xfId="10213" xr:uid="{00000000-0005-0000-0000-0000EC1C0000}"/>
    <cellStyle name="Note 10 2 3 3" xfId="5510" xr:uid="{00000000-0005-0000-0000-0000ED1C0000}"/>
    <cellStyle name="Note 10 2 3 4" xfId="7865" xr:uid="{00000000-0005-0000-0000-0000EE1C0000}"/>
    <cellStyle name="Note 10 2 3 5" xfId="11291" xr:uid="{00000000-0005-0000-0000-0000EF1C0000}"/>
    <cellStyle name="Note 10 2 4" xfId="1992" xr:uid="{00000000-0005-0000-0000-0000F01C0000}"/>
    <cellStyle name="Note 10 2 4 2" xfId="3455" xr:uid="{00000000-0005-0000-0000-0000F11C0000}"/>
    <cellStyle name="Note 10 2 4 2 2" xfId="7025" xr:uid="{00000000-0005-0000-0000-0000F21C0000}"/>
    <cellStyle name="Note 10 2 4 2 3" xfId="8991" xr:uid="{00000000-0005-0000-0000-0000F31C0000}"/>
    <cellStyle name="Note 10 2 4 2 4" xfId="10282" xr:uid="{00000000-0005-0000-0000-0000F41C0000}"/>
    <cellStyle name="Note 10 2 4 3" xfId="5580" xr:uid="{00000000-0005-0000-0000-0000F51C0000}"/>
    <cellStyle name="Note 10 2 4 4" xfId="7790" xr:uid="{00000000-0005-0000-0000-0000F61C0000}"/>
    <cellStyle name="Note 10 2 4 5" xfId="11360" xr:uid="{00000000-0005-0000-0000-0000F71C0000}"/>
    <cellStyle name="Note 10 2 5" xfId="2060" xr:uid="{00000000-0005-0000-0000-0000F81C0000}"/>
    <cellStyle name="Note 10 2 5 2" xfId="3520" xr:uid="{00000000-0005-0000-0000-0000F91C0000}"/>
    <cellStyle name="Note 10 2 5 2 2" xfId="7090" xr:uid="{00000000-0005-0000-0000-0000FA1C0000}"/>
    <cellStyle name="Note 10 2 5 2 3" xfId="9056" xr:uid="{00000000-0005-0000-0000-0000FB1C0000}"/>
    <cellStyle name="Note 10 2 5 2 4" xfId="10347" xr:uid="{00000000-0005-0000-0000-0000FC1C0000}"/>
    <cellStyle name="Note 10 2 5 3" xfId="5648" xr:uid="{00000000-0005-0000-0000-0000FD1C0000}"/>
    <cellStyle name="Note 10 2 5 4" xfId="7826" xr:uid="{00000000-0005-0000-0000-0000FE1C0000}"/>
    <cellStyle name="Note 10 2 5 5" xfId="11427" xr:uid="{00000000-0005-0000-0000-0000FF1C0000}"/>
    <cellStyle name="Note 10 2 6" xfId="2128" xr:uid="{00000000-0005-0000-0000-0000001D0000}"/>
    <cellStyle name="Note 10 2 6 2" xfId="3587" xr:uid="{00000000-0005-0000-0000-0000011D0000}"/>
    <cellStyle name="Note 10 2 6 2 2" xfId="7157" xr:uid="{00000000-0005-0000-0000-0000021D0000}"/>
    <cellStyle name="Note 10 2 6 2 3" xfId="9122" xr:uid="{00000000-0005-0000-0000-0000031D0000}"/>
    <cellStyle name="Note 10 2 6 2 4" xfId="10414" xr:uid="{00000000-0005-0000-0000-0000041D0000}"/>
    <cellStyle name="Note 10 2 6 3" xfId="5716" xr:uid="{00000000-0005-0000-0000-0000051D0000}"/>
    <cellStyle name="Note 10 2 6 4" xfId="4462" xr:uid="{00000000-0005-0000-0000-0000061D0000}"/>
    <cellStyle name="Note 10 2 6 5" xfId="11494" xr:uid="{00000000-0005-0000-0000-0000071D0000}"/>
    <cellStyle name="Note 10 2 7" xfId="2200" xr:uid="{00000000-0005-0000-0000-0000081D0000}"/>
    <cellStyle name="Note 10 2 7 2" xfId="3659" xr:uid="{00000000-0005-0000-0000-0000091D0000}"/>
    <cellStyle name="Note 10 2 7 2 2" xfId="7229" xr:uid="{00000000-0005-0000-0000-00000A1D0000}"/>
    <cellStyle name="Note 10 2 7 2 3" xfId="9194" xr:uid="{00000000-0005-0000-0000-00000B1D0000}"/>
    <cellStyle name="Note 10 2 7 2 4" xfId="10486" xr:uid="{00000000-0005-0000-0000-00000C1D0000}"/>
    <cellStyle name="Note 10 2 7 3" xfId="5788" xr:uid="{00000000-0005-0000-0000-00000D1D0000}"/>
    <cellStyle name="Note 10 2 7 4" xfId="6608" xr:uid="{00000000-0005-0000-0000-00000E1D0000}"/>
    <cellStyle name="Note 10 2 7 5" xfId="11566" xr:uid="{00000000-0005-0000-0000-00000F1D0000}"/>
    <cellStyle name="Note 10 2 8" xfId="2297" xr:uid="{00000000-0005-0000-0000-0000101D0000}"/>
    <cellStyle name="Note 10 2 8 2" xfId="3754" xr:uid="{00000000-0005-0000-0000-0000111D0000}"/>
    <cellStyle name="Note 10 2 8 2 2" xfId="7324" xr:uid="{00000000-0005-0000-0000-0000121D0000}"/>
    <cellStyle name="Note 10 2 8 2 3" xfId="9287" xr:uid="{00000000-0005-0000-0000-0000131D0000}"/>
    <cellStyle name="Note 10 2 8 2 4" xfId="10581" xr:uid="{00000000-0005-0000-0000-0000141D0000}"/>
    <cellStyle name="Note 10 2 8 3" xfId="5885" xr:uid="{00000000-0005-0000-0000-0000151D0000}"/>
    <cellStyle name="Note 10 2 8 4" xfId="4561" xr:uid="{00000000-0005-0000-0000-0000161D0000}"/>
    <cellStyle name="Note 10 2 8 5" xfId="11662" xr:uid="{00000000-0005-0000-0000-0000171D0000}"/>
    <cellStyle name="Note 10 2 9" xfId="2389" xr:uid="{00000000-0005-0000-0000-0000181D0000}"/>
    <cellStyle name="Note 10 2 9 2" xfId="3845" xr:uid="{00000000-0005-0000-0000-0000191D0000}"/>
    <cellStyle name="Note 10 2 9 2 2" xfId="7415" xr:uid="{00000000-0005-0000-0000-00001A1D0000}"/>
    <cellStyle name="Note 10 2 9 2 3" xfId="9377" xr:uid="{00000000-0005-0000-0000-00001B1D0000}"/>
    <cellStyle name="Note 10 2 9 2 4" xfId="10672" xr:uid="{00000000-0005-0000-0000-00001C1D0000}"/>
    <cellStyle name="Note 10 2 9 3" xfId="5977" xr:uid="{00000000-0005-0000-0000-00001D1D0000}"/>
    <cellStyle name="Note 10 2 9 4" xfId="4858" xr:uid="{00000000-0005-0000-0000-00001E1D0000}"/>
    <cellStyle name="Note 10 2 9 5" xfId="11753" xr:uid="{00000000-0005-0000-0000-00001F1D0000}"/>
    <cellStyle name="Note 10 3" xfId="1576" xr:uid="{00000000-0005-0000-0000-0000201D0000}"/>
    <cellStyle name="Note 10 3 2" xfId="3059" xr:uid="{00000000-0005-0000-0000-0000211D0000}"/>
    <cellStyle name="Note 10 3 2 2" xfId="6636" xr:uid="{00000000-0005-0000-0000-0000221D0000}"/>
    <cellStyle name="Note 10 3 2 3" xfId="8624" xr:uid="{00000000-0005-0000-0000-0000231D0000}"/>
    <cellStyle name="Note 10 3 2 4" xfId="9940" xr:uid="{00000000-0005-0000-0000-0000241D0000}"/>
    <cellStyle name="Note 10 3 3" xfId="5173" xr:uid="{00000000-0005-0000-0000-0000251D0000}"/>
    <cellStyle name="Note 10 3 4" xfId="8830" xr:uid="{00000000-0005-0000-0000-0000261D0000}"/>
    <cellStyle name="Note 10 3 5" xfId="11022" xr:uid="{00000000-0005-0000-0000-0000271D0000}"/>
    <cellStyle name="Note 10 4" xfId="1376" xr:uid="{00000000-0005-0000-0000-0000281D0000}"/>
    <cellStyle name="Note 10 4 2" xfId="2872" xr:uid="{00000000-0005-0000-0000-0000291D0000}"/>
    <cellStyle name="Note 10 4 2 2" xfId="6451" xr:uid="{00000000-0005-0000-0000-00002A1D0000}"/>
    <cellStyle name="Note 10 4 2 3" xfId="8452" xr:uid="{00000000-0005-0000-0000-00002B1D0000}"/>
    <cellStyle name="Note 10 4 2 4" xfId="9777" xr:uid="{00000000-0005-0000-0000-00002C1D0000}"/>
    <cellStyle name="Note 10 4 3" xfId="4974" xr:uid="{00000000-0005-0000-0000-00002D1D0000}"/>
    <cellStyle name="Note 10 4 4" xfId="7909" xr:uid="{00000000-0005-0000-0000-00002E1D0000}"/>
    <cellStyle name="Note 10 4 5" xfId="10859" xr:uid="{00000000-0005-0000-0000-00002F1D0000}"/>
    <cellStyle name="Note 10 5" xfId="1685" xr:uid="{00000000-0005-0000-0000-0000301D0000}"/>
    <cellStyle name="Note 10 5 2" xfId="3163" xr:uid="{00000000-0005-0000-0000-0000311D0000}"/>
    <cellStyle name="Note 10 5 2 2" xfId="6737" xr:uid="{00000000-0005-0000-0000-0000321D0000}"/>
    <cellStyle name="Note 10 5 2 3" xfId="8717" xr:uid="{00000000-0005-0000-0000-0000331D0000}"/>
    <cellStyle name="Note 10 5 2 4" xfId="10022" xr:uid="{00000000-0005-0000-0000-0000341D0000}"/>
    <cellStyle name="Note 10 5 3" xfId="5277" xr:uid="{00000000-0005-0000-0000-0000351D0000}"/>
    <cellStyle name="Note 10 5 4" xfId="4371" xr:uid="{00000000-0005-0000-0000-0000361D0000}"/>
    <cellStyle name="Note 10 5 5" xfId="11099" xr:uid="{00000000-0005-0000-0000-0000371D0000}"/>
    <cellStyle name="Note 10 6" xfId="2601" xr:uid="{00000000-0005-0000-0000-0000381D0000}"/>
    <cellStyle name="Note 10 6 2" xfId="6189" xr:uid="{00000000-0005-0000-0000-0000391D0000}"/>
    <cellStyle name="Note 10 6 3" xfId="8213" xr:uid="{00000000-0005-0000-0000-00003A1D0000}"/>
    <cellStyle name="Note 10 6 4" xfId="9563" xr:uid="{00000000-0005-0000-0000-00003B1D0000}"/>
    <cellStyle name="Note 10 7" xfId="4587" xr:uid="{00000000-0005-0000-0000-00003C1D0000}"/>
    <cellStyle name="Note 10 8" xfId="4287" xr:uid="{00000000-0005-0000-0000-00003D1D0000}"/>
    <cellStyle name="Note 10 9" xfId="4316" xr:uid="{00000000-0005-0000-0000-00003E1D0000}"/>
    <cellStyle name="Note 11" xfId="972" xr:uid="{00000000-0005-0000-0000-00003F1D0000}"/>
    <cellStyle name="Note 11 2" xfId="1216" xr:uid="{00000000-0005-0000-0000-0000401D0000}"/>
    <cellStyle name="Note 11 2 10" xfId="2459" xr:uid="{00000000-0005-0000-0000-0000411D0000}"/>
    <cellStyle name="Note 11 2 10 2" xfId="3914" xr:uid="{00000000-0005-0000-0000-0000421D0000}"/>
    <cellStyle name="Note 11 2 10 2 2" xfId="7484" xr:uid="{00000000-0005-0000-0000-0000431D0000}"/>
    <cellStyle name="Note 11 2 10 2 3" xfId="9444" xr:uid="{00000000-0005-0000-0000-0000441D0000}"/>
    <cellStyle name="Note 11 2 10 2 4" xfId="10741" xr:uid="{00000000-0005-0000-0000-0000451D0000}"/>
    <cellStyle name="Note 11 2 10 3" xfId="6047" xr:uid="{00000000-0005-0000-0000-0000461D0000}"/>
    <cellStyle name="Note 11 2 10 4" xfId="8122" xr:uid="{00000000-0005-0000-0000-0000471D0000}"/>
    <cellStyle name="Note 11 2 10 5" xfId="6139" xr:uid="{00000000-0005-0000-0000-0000481D0000}"/>
    <cellStyle name="Note 11 2 10 6" xfId="11823" xr:uid="{00000000-0005-0000-0000-0000491D0000}"/>
    <cellStyle name="Note 11 2 11" xfId="2512" xr:uid="{00000000-0005-0000-0000-00004A1D0000}"/>
    <cellStyle name="Note 11 2 11 2" xfId="3967" xr:uid="{00000000-0005-0000-0000-00004B1D0000}"/>
    <cellStyle name="Note 11 2 11 2 2" xfId="7537" xr:uid="{00000000-0005-0000-0000-00004C1D0000}"/>
    <cellStyle name="Note 11 2 11 2 3" xfId="9497" xr:uid="{00000000-0005-0000-0000-00004D1D0000}"/>
    <cellStyle name="Note 11 2 11 2 4" xfId="10794" xr:uid="{00000000-0005-0000-0000-00004E1D0000}"/>
    <cellStyle name="Note 11 2 11 3" xfId="6100" xr:uid="{00000000-0005-0000-0000-00004F1D0000}"/>
    <cellStyle name="Note 11 2 11 4" xfId="8147" xr:uid="{00000000-0005-0000-0000-0000501D0000}"/>
    <cellStyle name="Note 11 2 11 5" xfId="6721" xr:uid="{00000000-0005-0000-0000-0000511D0000}"/>
    <cellStyle name="Note 11 2 11 6" xfId="11876" xr:uid="{00000000-0005-0000-0000-0000521D0000}"/>
    <cellStyle name="Note 11 2 12" xfId="2721" xr:uid="{00000000-0005-0000-0000-0000531D0000}"/>
    <cellStyle name="Note 11 2 12 2" xfId="6304" xr:uid="{00000000-0005-0000-0000-0000541D0000}"/>
    <cellStyle name="Note 11 2 12 3" xfId="8316" xr:uid="{00000000-0005-0000-0000-0000551D0000}"/>
    <cellStyle name="Note 11 2 12 4" xfId="9653" xr:uid="{00000000-0005-0000-0000-0000561D0000}"/>
    <cellStyle name="Note 11 2 13" xfId="4815" xr:uid="{00000000-0005-0000-0000-0000571D0000}"/>
    <cellStyle name="Note 11 2 14" xfId="4148" xr:uid="{00000000-0005-0000-0000-0000581D0000}"/>
    <cellStyle name="Note 11 2 15" xfId="8142" xr:uid="{00000000-0005-0000-0000-0000591D0000}"/>
    <cellStyle name="Note 11 2 2" xfId="1757" xr:uid="{00000000-0005-0000-0000-00005A1D0000}"/>
    <cellStyle name="Note 11 2 2 2" xfId="3234" xr:uid="{00000000-0005-0000-0000-00005B1D0000}"/>
    <cellStyle name="Note 11 2 2 2 2" xfId="6807" xr:uid="{00000000-0005-0000-0000-00005C1D0000}"/>
    <cellStyle name="Note 11 2 2 2 3" xfId="8783" xr:uid="{00000000-0005-0000-0000-00005D1D0000}"/>
    <cellStyle name="Note 11 2 2 2 4" xfId="10084" xr:uid="{00000000-0005-0000-0000-00005E1D0000}"/>
    <cellStyle name="Note 11 2 2 3" xfId="5349" xr:uid="{00000000-0005-0000-0000-00005F1D0000}"/>
    <cellStyle name="Note 11 2 2 4" xfId="4670" xr:uid="{00000000-0005-0000-0000-0000601D0000}"/>
    <cellStyle name="Note 11 2 2 5" xfId="11161" xr:uid="{00000000-0005-0000-0000-0000611D0000}"/>
    <cellStyle name="Note 11 2 3" xfId="1923" xr:uid="{00000000-0005-0000-0000-0000621D0000}"/>
    <cellStyle name="Note 11 2 3 2" xfId="3387" xr:uid="{00000000-0005-0000-0000-0000631D0000}"/>
    <cellStyle name="Note 11 2 3 2 2" xfId="6957" xr:uid="{00000000-0005-0000-0000-0000641D0000}"/>
    <cellStyle name="Note 11 2 3 2 3" xfId="8923" xr:uid="{00000000-0005-0000-0000-0000651D0000}"/>
    <cellStyle name="Note 11 2 3 2 4" xfId="10214" xr:uid="{00000000-0005-0000-0000-0000661D0000}"/>
    <cellStyle name="Note 11 2 3 3" xfId="5511" xr:uid="{00000000-0005-0000-0000-0000671D0000}"/>
    <cellStyle name="Note 11 2 3 4" xfId="7669" xr:uid="{00000000-0005-0000-0000-0000681D0000}"/>
    <cellStyle name="Note 11 2 3 5" xfId="11292" xr:uid="{00000000-0005-0000-0000-0000691D0000}"/>
    <cellStyle name="Note 11 2 4" xfId="1993" xr:uid="{00000000-0005-0000-0000-00006A1D0000}"/>
    <cellStyle name="Note 11 2 4 2" xfId="3456" xr:uid="{00000000-0005-0000-0000-00006B1D0000}"/>
    <cellStyle name="Note 11 2 4 2 2" xfId="7026" xr:uid="{00000000-0005-0000-0000-00006C1D0000}"/>
    <cellStyle name="Note 11 2 4 2 3" xfId="8992" xr:uid="{00000000-0005-0000-0000-00006D1D0000}"/>
    <cellStyle name="Note 11 2 4 2 4" xfId="10283" xr:uid="{00000000-0005-0000-0000-00006E1D0000}"/>
    <cellStyle name="Note 11 2 4 3" xfId="5581" xr:uid="{00000000-0005-0000-0000-00006F1D0000}"/>
    <cellStyle name="Note 11 2 4 4" xfId="7688" xr:uid="{00000000-0005-0000-0000-0000701D0000}"/>
    <cellStyle name="Note 11 2 4 5" xfId="11361" xr:uid="{00000000-0005-0000-0000-0000711D0000}"/>
    <cellStyle name="Note 11 2 5" xfId="2061" xr:uid="{00000000-0005-0000-0000-0000721D0000}"/>
    <cellStyle name="Note 11 2 5 2" xfId="3521" xr:uid="{00000000-0005-0000-0000-0000731D0000}"/>
    <cellStyle name="Note 11 2 5 2 2" xfId="7091" xr:uid="{00000000-0005-0000-0000-0000741D0000}"/>
    <cellStyle name="Note 11 2 5 2 3" xfId="9057" xr:uid="{00000000-0005-0000-0000-0000751D0000}"/>
    <cellStyle name="Note 11 2 5 2 4" xfId="10348" xr:uid="{00000000-0005-0000-0000-0000761D0000}"/>
    <cellStyle name="Note 11 2 5 3" xfId="5649" xr:uid="{00000000-0005-0000-0000-0000771D0000}"/>
    <cellStyle name="Note 11 2 5 4" xfId="7673" xr:uid="{00000000-0005-0000-0000-0000781D0000}"/>
    <cellStyle name="Note 11 2 5 5" xfId="11428" xr:uid="{00000000-0005-0000-0000-0000791D0000}"/>
    <cellStyle name="Note 11 2 6" xfId="2129" xr:uid="{00000000-0005-0000-0000-00007A1D0000}"/>
    <cellStyle name="Note 11 2 6 2" xfId="3588" xr:uid="{00000000-0005-0000-0000-00007B1D0000}"/>
    <cellStyle name="Note 11 2 6 2 2" xfId="7158" xr:uid="{00000000-0005-0000-0000-00007C1D0000}"/>
    <cellStyle name="Note 11 2 6 2 3" xfId="9123" xr:uid="{00000000-0005-0000-0000-00007D1D0000}"/>
    <cellStyle name="Note 11 2 6 2 4" xfId="10415" xr:uid="{00000000-0005-0000-0000-00007E1D0000}"/>
    <cellStyle name="Note 11 2 6 3" xfId="5717" xr:uid="{00000000-0005-0000-0000-00007F1D0000}"/>
    <cellStyle name="Note 11 2 6 4" xfId="4463" xr:uid="{00000000-0005-0000-0000-0000801D0000}"/>
    <cellStyle name="Note 11 2 6 5" xfId="11495" xr:uid="{00000000-0005-0000-0000-0000811D0000}"/>
    <cellStyle name="Note 11 2 7" xfId="2201" xr:uid="{00000000-0005-0000-0000-0000821D0000}"/>
    <cellStyle name="Note 11 2 7 2" xfId="3660" xr:uid="{00000000-0005-0000-0000-0000831D0000}"/>
    <cellStyle name="Note 11 2 7 2 2" xfId="7230" xr:uid="{00000000-0005-0000-0000-0000841D0000}"/>
    <cellStyle name="Note 11 2 7 2 3" xfId="9195" xr:uid="{00000000-0005-0000-0000-0000851D0000}"/>
    <cellStyle name="Note 11 2 7 2 4" xfId="10487" xr:uid="{00000000-0005-0000-0000-0000861D0000}"/>
    <cellStyle name="Note 11 2 7 3" xfId="5789" xr:uid="{00000000-0005-0000-0000-0000871D0000}"/>
    <cellStyle name="Note 11 2 7 4" xfId="5007" xr:uid="{00000000-0005-0000-0000-0000881D0000}"/>
    <cellStyle name="Note 11 2 7 5" xfId="11567" xr:uid="{00000000-0005-0000-0000-0000891D0000}"/>
    <cellStyle name="Note 11 2 8" xfId="2298" xr:uid="{00000000-0005-0000-0000-00008A1D0000}"/>
    <cellStyle name="Note 11 2 8 2" xfId="3755" xr:uid="{00000000-0005-0000-0000-00008B1D0000}"/>
    <cellStyle name="Note 11 2 8 2 2" xfId="7325" xr:uid="{00000000-0005-0000-0000-00008C1D0000}"/>
    <cellStyle name="Note 11 2 8 2 3" xfId="9288" xr:uid="{00000000-0005-0000-0000-00008D1D0000}"/>
    <cellStyle name="Note 11 2 8 2 4" xfId="10582" xr:uid="{00000000-0005-0000-0000-00008E1D0000}"/>
    <cellStyle name="Note 11 2 8 3" xfId="5886" xr:uid="{00000000-0005-0000-0000-00008F1D0000}"/>
    <cellStyle name="Note 11 2 8 4" xfId="4562" xr:uid="{00000000-0005-0000-0000-0000901D0000}"/>
    <cellStyle name="Note 11 2 8 5" xfId="11663" xr:uid="{00000000-0005-0000-0000-0000911D0000}"/>
    <cellStyle name="Note 11 2 9" xfId="2390" xr:uid="{00000000-0005-0000-0000-0000921D0000}"/>
    <cellStyle name="Note 11 2 9 2" xfId="3846" xr:uid="{00000000-0005-0000-0000-0000931D0000}"/>
    <cellStyle name="Note 11 2 9 2 2" xfId="7416" xr:uid="{00000000-0005-0000-0000-0000941D0000}"/>
    <cellStyle name="Note 11 2 9 2 3" xfId="9378" xr:uid="{00000000-0005-0000-0000-0000951D0000}"/>
    <cellStyle name="Note 11 2 9 2 4" xfId="10673" xr:uid="{00000000-0005-0000-0000-0000961D0000}"/>
    <cellStyle name="Note 11 2 9 3" xfId="5978" xr:uid="{00000000-0005-0000-0000-0000971D0000}"/>
    <cellStyle name="Note 11 2 9 4" xfId="4689" xr:uid="{00000000-0005-0000-0000-0000981D0000}"/>
    <cellStyle name="Note 11 2 9 5" xfId="11754" xr:uid="{00000000-0005-0000-0000-0000991D0000}"/>
    <cellStyle name="Note 11 3" xfId="1577" xr:uid="{00000000-0005-0000-0000-00009A1D0000}"/>
    <cellStyle name="Note 11 3 2" xfId="3060" xr:uid="{00000000-0005-0000-0000-00009B1D0000}"/>
    <cellStyle name="Note 11 3 2 2" xfId="6637" xr:uid="{00000000-0005-0000-0000-00009C1D0000}"/>
    <cellStyle name="Note 11 3 2 3" xfId="8625" xr:uid="{00000000-0005-0000-0000-00009D1D0000}"/>
    <cellStyle name="Note 11 3 2 4" xfId="9941" xr:uid="{00000000-0005-0000-0000-00009E1D0000}"/>
    <cellStyle name="Note 11 3 3" xfId="5174" xr:uid="{00000000-0005-0000-0000-00009F1D0000}"/>
    <cellStyle name="Note 11 3 4" xfId="7846" xr:uid="{00000000-0005-0000-0000-0000A01D0000}"/>
    <cellStyle name="Note 11 3 5" xfId="11023" xr:uid="{00000000-0005-0000-0000-0000A11D0000}"/>
    <cellStyle name="Note 11 4" xfId="1375" xr:uid="{00000000-0005-0000-0000-0000A21D0000}"/>
    <cellStyle name="Note 11 4 2" xfId="2871" xr:uid="{00000000-0005-0000-0000-0000A31D0000}"/>
    <cellStyle name="Note 11 4 2 2" xfId="6450" xr:uid="{00000000-0005-0000-0000-0000A41D0000}"/>
    <cellStyle name="Note 11 4 2 3" xfId="8451" xr:uid="{00000000-0005-0000-0000-0000A51D0000}"/>
    <cellStyle name="Note 11 4 2 4" xfId="9776" xr:uid="{00000000-0005-0000-0000-0000A61D0000}"/>
    <cellStyle name="Note 11 4 3" xfId="4973" xr:uid="{00000000-0005-0000-0000-0000A71D0000}"/>
    <cellStyle name="Note 11 4 4" xfId="8894" xr:uid="{00000000-0005-0000-0000-0000A81D0000}"/>
    <cellStyle name="Note 11 4 5" xfId="10858" xr:uid="{00000000-0005-0000-0000-0000A91D0000}"/>
    <cellStyle name="Note 11 5" xfId="1555" xr:uid="{00000000-0005-0000-0000-0000AA1D0000}"/>
    <cellStyle name="Note 11 5 2" xfId="3039" xr:uid="{00000000-0005-0000-0000-0000AB1D0000}"/>
    <cellStyle name="Note 11 5 2 2" xfId="6616" xr:uid="{00000000-0005-0000-0000-0000AC1D0000}"/>
    <cellStyle name="Note 11 5 2 3" xfId="8607" xr:uid="{00000000-0005-0000-0000-0000AD1D0000}"/>
    <cellStyle name="Note 11 5 2 4" xfId="9923" xr:uid="{00000000-0005-0000-0000-0000AE1D0000}"/>
    <cellStyle name="Note 11 5 3" xfId="5152" xr:uid="{00000000-0005-0000-0000-0000AF1D0000}"/>
    <cellStyle name="Note 11 5 4" xfId="8889" xr:uid="{00000000-0005-0000-0000-0000B01D0000}"/>
    <cellStyle name="Note 11 5 5" xfId="11005" xr:uid="{00000000-0005-0000-0000-0000B11D0000}"/>
    <cellStyle name="Note 11 6" xfId="2602" xr:uid="{00000000-0005-0000-0000-0000B21D0000}"/>
    <cellStyle name="Note 11 6 2" xfId="6190" xr:uid="{00000000-0005-0000-0000-0000B31D0000}"/>
    <cellStyle name="Note 11 6 3" xfId="8214" xr:uid="{00000000-0005-0000-0000-0000B41D0000}"/>
    <cellStyle name="Note 11 6 4" xfId="9564" xr:uid="{00000000-0005-0000-0000-0000B51D0000}"/>
    <cellStyle name="Note 11 7" xfId="4588" xr:uid="{00000000-0005-0000-0000-0000B61D0000}"/>
    <cellStyle name="Note 11 8" xfId="4286" xr:uid="{00000000-0005-0000-0000-0000B71D0000}"/>
    <cellStyle name="Note 11 9" xfId="4317" xr:uid="{00000000-0005-0000-0000-0000B81D0000}"/>
    <cellStyle name="Note 12" xfId="973" xr:uid="{00000000-0005-0000-0000-0000B91D0000}"/>
    <cellStyle name="Note 12 2" xfId="1217" xr:uid="{00000000-0005-0000-0000-0000BA1D0000}"/>
    <cellStyle name="Note 12 2 10" xfId="2460" xr:uid="{00000000-0005-0000-0000-0000BB1D0000}"/>
    <cellStyle name="Note 12 2 10 2" xfId="3915" xr:uid="{00000000-0005-0000-0000-0000BC1D0000}"/>
    <cellStyle name="Note 12 2 10 2 2" xfId="7485" xr:uid="{00000000-0005-0000-0000-0000BD1D0000}"/>
    <cellStyle name="Note 12 2 10 2 3" xfId="9445" xr:uid="{00000000-0005-0000-0000-0000BE1D0000}"/>
    <cellStyle name="Note 12 2 10 2 4" xfId="10742" xr:uid="{00000000-0005-0000-0000-0000BF1D0000}"/>
    <cellStyle name="Note 12 2 10 3" xfId="6048" xr:uid="{00000000-0005-0000-0000-0000C01D0000}"/>
    <cellStyle name="Note 12 2 10 4" xfId="8123" xr:uid="{00000000-0005-0000-0000-0000C11D0000}"/>
    <cellStyle name="Note 12 2 10 5" xfId="4049" xr:uid="{00000000-0005-0000-0000-0000C21D0000}"/>
    <cellStyle name="Note 12 2 10 6" xfId="11824" xr:uid="{00000000-0005-0000-0000-0000C31D0000}"/>
    <cellStyle name="Note 12 2 11" xfId="2513" xr:uid="{00000000-0005-0000-0000-0000C41D0000}"/>
    <cellStyle name="Note 12 2 11 2" xfId="3968" xr:uid="{00000000-0005-0000-0000-0000C51D0000}"/>
    <cellStyle name="Note 12 2 11 2 2" xfId="7538" xr:uid="{00000000-0005-0000-0000-0000C61D0000}"/>
    <cellStyle name="Note 12 2 11 2 3" xfId="9498" xr:uid="{00000000-0005-0000-0000-0000C71D0000}"/>
    <cellStyle name="Note 12 2 11 2 4" xfId="10795" xr:uid="{00000000-0005-0000-0000-0000C81D0000}"/>
    <cellStyle name="Note 12 2 11 3" xfId="6101" xr:uid="{00000000-0005-0000-0000-0000C91D0000}"/>
    <cellStyle name="Note 12 2 11 4" xfId="8148" xr:uid="{00000000-0005-0000-0000-0000CA1D0000}"/>
    <cellStyle name="Note 12 2 11 5" xfId="6234" xr:uid="{00000000-0005-0000-0000-0000CB1D0000}"/>
    <cellStyle name="Note 12 2 11 6" xfId="11877" xr:uid="{00000000-0005-0000-0000-0000CC1D0000}"/>
    <cellStyle name="Note 12 2 12" xfId="2722" xr:uid="{00000000-0005-0000-0000-0000CD1D0000}"/>
    <cellStyle name="Note 12 2 12 2" xfId="6305" xr:uid="{00000000-0005-0000-0000-0000CE1D0000}"/>
    <cellStyle name="Note 12 2 12 3" xfId="8317" xr:uid="{00000000-0005-0000-0000-0000CF1D0000}"/>
    <cellStyle name="Note 12 2 12 4" xfId="9654" xr:uid="{00000000-0005-0000-0000-0000D01D0000}"/>
    <cellStyle name="Note 12 2 13" xfId="4816" xr:uid="{00000000-0005-0000-0000-0000D11D0000}"/>
    <cellStyle name="Note 12 2 14" xfId="4147" xr:uid="{00000000-0005-0000-0000-0000D21D0000}"/>
    <cellStyle name="Note 12 2 15" xfId="8115" xr:uid="{00000000-0005-0000-0000-0000D31D0000}"/>
    <cellStyle name="Note 12 2 2" xfId="1758" xr:uid="{00000000-0005-0000-0000-0000D41D0000}"/>
    <cellStyle name="Note 12 2 2 2" xfId="3235" xr:uid="{00000000-0005-0000-0000-0000D51D0000}"/>
    <cellStyle name="Note 12 2 2 2 2" xfId="6808" xr:uid="{00000000-0005-0000-0000-0000D61D0000}"/>
    <cellStyle name="Note 12 2 2 2 3" xfId="8784" xr:uid="{00000000-0005-0000-0000-0000D71D0000}"/>
    <cellStyle name="Note 12 2 2 2 4" xfId="10085" xr:uid="{00000000-0005-0000-0000-0000D81D0000}"/>
    <cellStyle name="Note 12 2 2 3" xfId="5350" xr:uid="{00000000-0005-0000-0000-0000D91D0000}"/>
    <cellStyle name="Note 12 2 2 4" xfId="8253" xr:uid="{00000000-0005-0000-0000-0000DA1D0000}"/>
    <cellStyle name="Note 12 2 2 5" xfId="11162" xr:uid="{00000000-0005-0000-0000-0000DB1D0000}"/>
    <cellStyle name="Note 12 2 3" xfId="1924" xr:uid="{00000000-0005-0000-0000-0000DC1D0000}"/>
    <cellStyle name="Note 12 2 3 2" xfId="3388" xr:uid="{00000000-0005-0000-0000-0000DD1D0000}"/>
    <cellStyle name="Note 12 2 3 2 2" xfId="6958" xr:uid="{00000000-0005-0000-0000-0000DE1D0000}"/>
    <cellStyle name="Note 12 2 3 2 3" xfId="8924" xr:uid="{00000000-0005-0000-0000-0000DF1D0000}"/>
    <cellStyle name="Note 12 2 3 2 4" xfId="10215" xr:uid="{00000000-0005-0000-0000-0000E01D0000}"/>
    <cellStyle name="Note 12 2 3 3" xfId="5512" xr:uid="{00000000-0005-0000-0000-0000E11D0000}"/>
    <cellStyle name="Note 12 2 3 4" xfId="4088" xr:uid="{00000000-0005-0000-0000-0000E21D0000}"/>
    <cellStyle name="Note 12 2 3 5" xfId="11293" xr:uid="{00000000-0005-0000-0000-0000E31D0000}"/>
    <cellStyle name="Note 12 2 4" xfId="1994" xr:uid="{00000000-0005-0000-0000-0000E41D0000}"/>
    <cellStyle name="Note 12 2 4 2" xfId="3457" xr:uid="{00000000-0005-0000-0000-0000E51D0000}"/>
    <cellStyle name="Note 12 2 4 2 2" xfId="7027" xr:uid="{00000000-0005-0000-0000-0000E61D0000}"/>
    <cellStyle name="Note 12 2 4 2 3" xfId="8993" xr:uid="{00000000-0005-0000-0000-0000E71D0000}"/>
    <cellStyle name="Note 12 2 4 2 4" xfId="10284" xr:uid="{00000000-0005-0000-0000-0000E81D0000}"/>
    <cellStyle name="Note 12 2 4 3" xfId="5582" xr:uid="{00000000-0005-0000-0000-0000E91D0000}"/>
    <cellStyle name="Note 12 2 4 4" xfId="7755" xr:uid="{00000000-0005-0000-0000-0000EA1D0000}"/>
    <cellStyle name="Note 12 2 4 5" xfId="11362" xr:uid="{00000000-0005-0000-0000-0000EB1D0000}"/>
    <cellStyle name="Note 12 2 5" xfId="2062" xr:uid="{00000000-0005-0000-0000-0000EC1D0000}"/>
    <cellStyle name="Note 12 2 5 2" xfId="3522" xr:uid="{00000000-0005-0000-0000-0000ED1D0000}"/>
    <cellStyle name="Note 12 2 5 2 2" xfId="7092" xr:uid="{00000000-0005-0000-0000-0000EE1D0000}"/>
    <cellStyle name="Note 12 2 5 2 3" xfId="9058" xr:uid="{00000000-0005-0000-0000-0000EF1D0000}"/>
    <cellStyle name="Note 12 2 5 2 4" xfId="10349" xr:uid="{00000000-0005-0000-0000-0000F01D0000}"/>
    <cellStyle name="Note 12 2 5 3" xfId="5650" xr:uid="{00000000-0005-0000-0000-0000F11D0000}"/>
    <cellStyle name="Note 12 2 5 4" xfId="7617" xr:uid="{00000000-0005-0000-0000-0000F21D0000}"/>
    <cellStyle name="Note 12 2 5 5" xfId="11429" xr:uid="{00000000-0005-0000-0000-0000F31D0000}"/>
    <cellStyle name="Note 12 2 6" xfId="2130" xr:uid="{00000000-0005-0000-0000-0000F41D0000}"/>
    <cellStyle name="Note 12 2 6 2" xfId="3589" xr:uid="{00000000-0005-0000-0000-0000F51D0000}"/>
    <cellStyle name="Note 12 2 6 2 2" xfId="7159" xr:uid="{00000000-0005-0000-0000-0000F61D0000}"/>
    <cellStyle name="Note 12 2 6 2 3" xfId="9124" xr:uid="{00000000-0005-0000-0000-0000F71D0000}"/>
    <cellStyle name="Note 12 2 6 2 4" xfId="10416" xr:uid="{00000000-0005-0000-0000-0000F81D0000}"/>
    <cellStyle name="Note 12 2 6 3" xfId="5718" xr:uid="{00000000-0005-0000-0000-0000F91D0000}"/>
    <cellStyle name="Note 12 2 6 4" xfId="4226" xr:uid="{00000000-0005-0000-0000-0000FA1D0000}"/>
    <cellStyle name="Note 12 2 6 5" xfId="11496" xr:uid="{00000000-0005-0000-0000-0000FB1D0000}"/>
    <cellStyle name="Note 12 2 7" xfId="2202" xr:uid="{00000000-0005-0000-0000-0000FC1D0000}"/>
    <cellStyle name="Note 12 2 7 2" xfId="3661" xr:uid="{00000000-0005-0000-0000-0000FD1D0000}"/>
    <cellStyle name="Note 12 2 7 2 2" xfId="7231" xr:uid="{00000000-0005-0000-0000-0000FE1D0000}"/>
    <cellStyle name="Note 12 2 7 2 3" xfId="9196" xr:uid="{00000000-0005-0000-0000-0000FF1D0000}"/>
    <cellStyle name="Note 12 2 7 2 4" xfId="10488" xr:uid="{00000000-0005-0000-0000-0000001E0000}"/>
    <cellStyle name="Note 12 2 7 3" xfId="5790" xr:uid="{00000000-0005-0000-0000-0000011E0000}"/>
    <cellStyle name="Note 12 2 7 4" xfId="4514" xr:uid="{00000000-0005-0000-0000-0000021E0000}"/>
    <cellStyle name="Note 12 2 7 5" xfId="11568" xr:uid="{00000000-0005-0000-0000-0000031E0000}"/>
    <cellStyle name="Note 12 2 8" xfId="2299" xr:uid="{00000000-0005-0000-0000-0000041E0000}"/>
    <cellStyle name="Note 12 2 8 2" xfId="3756" xr:uid="{00000000-0005-0000-0000-0000051E0000}"/>
    <cellStyle name="Note 12 2 8 2 2" xfId="7326" xr:uid="{00000000-0005-0000-0000-0000061E0000}"/>
    <cellStyle name="Note 12 2 8 2 3" xfId="9289" xr:uid="{00000000-0005-0000-0000-0000071E0000}"/>
    <cellStyle name="Note 12 2 8 2 4" xfId="10583" xr:uid="{00000000-0005-0000-0000-0000081E0000}"/>
    <cellStyle name="Note 12 2 8 3" xfId="5887" xr:uid="{00000000-0005-0000-0000-0000091E0000}"/>
    <cellStyle name="Note 12 2 8 4" xfId="4563" xr:uid="{00000000-0005-0000-0000-00000A1E0000}"/>
    <cellStyle name="Note 12 2 8 5" xfId="11664" xr:uid="{00000000-0005-0000-0000-00000B1E0000}"/>
    <cellStyle name="Note 12 2 9" xfId="2391" xr:uid="{00000000-0005-0000-0000-00000C1E0000}"/>
    <cellStyle name="Note 12 2 9 2" xfId="3847" xr:uid="{00000000-0005-0000-0000-00000D1E0000}"/>
    <cellStyle name="Note 12 2 9 2 2" xfId="7417" xr:uid="{00000000-0005-0000-0000-00000E1E0000}"/>
    <cellStyle name="Note 12 2 9 2 3" xfId="9379" xr:uid="{00000000-0005-0000-0000-00000F1E0000}"/>
    <cellStyle name="Note 12 2 9 2 4" xfId="10674" xr:uid="{00000000-0005-0000-0000-0000101E0000}"/>
    <cellStyle name="Note 12 2 9 3" xfId="5979" xr:uid="{00000000-0005-0000-0000-0000111E0000}"/>
    <cellStyle name="Note 12 2 9 4" xfId="5388" xr:uid="{00000000-0005-0000-0000-0000121E0000}"/>
    <cellStyle name="Note 12 2 9 5" xfId="11755" xr:uid="{00000000-0005-0000-0000-0000131E0000}"/>
    <cellStyle name="Note 12 3" xfId="1578" xr:uid="{00000000-0005-0000-0000-0000141E0000}"/>
    <cellStyle name="Note 12 3 2" xfId="3061" xr:uid="{00000000-0005-0000-0000-0000151E0000}"/>
    <cellStyle name="Note 12 3 2 2" xfId="6638" xr:uid="{00000000-0005-0000-0000-0000161E0000}"/>
    <cellStyle name="Note 12 3 2 3" xfId="8626" xr:uid="{00000000-0005-0000-0000-0000171E0000}"/>
    <cellStyle name="Note 12 3 2 4" xfId="9942" xr:uid="{00000000-0005-0000-0000-0000181E0000}"/>
    <cellStyle name="Note 12 3 3" xfId="5175" xr:uid="{00000000-0005-0000-0000-0000191E0000}"/>
    <cellStyle name="Note 12 3 4" xfId="8662" xr:uid="{00000000-0005-0000-0000-00001A1E0000}"/>
    <cellStyle name="Note 12 3 5" xfId="11024" xr:uid="{00000000-0005-0000-0000-00001B1E0000}"/>
    <cellStyle name="Note 12 4" xfId="1374" xr:uid="{00000000-0005-0000-0000-00001C1E0000}"/>
    <cellStyle name="Note 12 4 2" xfId="2870" xr:uid="{00000000-0005-0000-0000-00001D1E0000}"/>
    <cellStyle name="Note 12 4 2 2" xfId="6449" xr:uid="{00000000-0005-0000-0000-00001E1E0000}"/>
    <cellStyle name="Note 12 4 2 3" xfId="8450" xr:uid="{00000000-0005-0000-0000-00001F1E0000}"/>
    <cellStyle name="Note 12 4 2 4" xfId="9775" xr:uid="{00000000-0005-0000-0000-0000201E0000}"/>
    <cellStyle name="Note 12 4 3" xfId="4972" xr:uid="{00000000-0005-0000-0000-0000211E0000}"/>
    <cellStyle name="Note 12 4 4" xfId="7733" xr:uid="{00000000-0005-0000-0000-0000221E0000}"/>
    <cellStyle name="Note 12 4 5" xfId="10857" xr:uid="{00000000-0005-0000-0000-0000231E0000}"/>
    <cellStyle name="Note 12 5" xfId="2121" xr:uid="{00000000-0005-0000-0000-0000241E0000}"/>
    <cellStyle name="Note 12 5 2" xfId="3580" xr:uid="{00000000-0005-0000-0000-0000251E0000}"/>
    <cellStyle name="Note 12 5 2 2" xfId="7150" xr:uid="{00000000-0005-0000-0000-0000261E0000}"/>
    <cellStyle name="Note 12 5 2 3" xfId="9115" xr:uid="{00000000-0005-0000-0000-0000271E0000}"/>
    <cellStyle name="Note 12 5 2 4" xfId="10407" xr:uid="{00000000-0005-0000-0000-0000281E0000}"/>
    <cellStyle name="Note 12 5 3" xfId="5709" xr:uid="{00000000-0005-0000-0000-0000291E0000}"/>
    <cellStyle name="Note 12 5 4" xfId="5227" xr:uid="{00000000-0005-0000-0000-00002A1E0000}"/>
    <cellStyle name="Note 12 5 5" xfId="11487" xr:uid="{00000000-0005-0000-0000-00002B1E0000}"/>
    <cellStyle name="Note 12 6" xfId="2603" xr:uid="{00000000-0005-0000-0000-00002C1E0000}"/>
    <cellStyle name="Note 12 6 2" xfId="6191" xr:uid="{00000000-0005-0000-0000-00002D1E0000}"/>
    <cellStyle name="Note 12 6 3" xfId="8215" xr:uid="{00000000-0005-0000-0000-00002E1E0000}"/>
    <cellStyle name="Note 12 6 4" xfId="9565" xr:uid="{00000000-0005-0000-0000-00002F1E0000}"/>
    <cellStyle name="Note 12 7" xfId="4589" xr:uid="{00000000-0005-0000-0000-0000301E0000}"/>
    <cellStyle name="Note 12 8" xfId="198" xr:uid="{00000000-0005-0000-0000-0000311E0000}"/>
    <cellStyle name="Note 12 9" xfId="4703" xr:uid="{00000000-0005-0000-0000-0000321E0000}"/>
    <cellStyle name="Note 13" xfId="974" xr:uid="{00000000-0005-0000-0000-0000331E0000}"/>
    <cellStyle name="Note 13 2" xfId="1218" xr:uid="{00000000-0005-0000-0000-0000341E0000}"/>
    <cellStyle name="Note 13 2 10" xfId="2461" xr:uid="{00000000-0005-0000-0000-0000351E0000}"/>
    <cellStyle name="Note 13 2 10 2" xfId="3916" xr:uid="{00000000-0005-0000-0000-0000361E0000}"/>
    <cellStyle name="Note 13 2 10 2 2" xfId="7486" xr:uid="{00000000-0005-0000-0000-0000371E0000}"/>
    <cellStyle name="Note 13 2 10 2 3" xfId="9446" xr:uid="{00000000-0005-0000-0000-0000381E0000}"/>
    <cellStyle name="Note 13 2 10 2 4" xfId="10743" xr:uid="{00000000-0005-0000-0000-0000391E0000}"/>
    <cellStyle name="Note 13 2 10 3" xfId="6049" xr:uid="{00000000-0005-0000-0000-00003A1E0000}"/>
    <cellStyle name="Note 13 2 10 4" xfId="8124" xr:uid="{00000000-0005-0000-0000-00003B1E0000}"/>
    <cellStyle name="Note 13 2 10 5" xfId="4585" xr:uid="{00000000-0005-0000-0000-00003C1E0000}"/>
    <cellStyle name="Note 13 2 10 6" xfId="11825" xr:uid="{00000000-0005-0000-0000-00003D1E0000}"/>
    <cellStyle name="Note 13 2 11" xfId="2514" xr:uid="{00000000-0005-0000-0000-00003E1E0000}"/>
    <cellStyle name="Note 13 2 11 2" xfId="3969" xr:uid="{00000000-0005-0000-0000-00003F1E0000}"/>
    <cellStyle name="Note 13 2 11 2 2" xfId="7539" xr:uid="{00000000-0005-0000-0000-0000401E0000}"/>
    <cellStyle name="Note 13 2 11 2 3" xfId="9499" xr:uid="{00000000-0005-0000-0000-0000411E0000}"/>
    <cellStyle name="Note 13 2 11 2 4" xfId="10796" xr:uid="{00000000-0005-0000-0000-0000421E0000}"/>
    <cellStyle name="Note 13 2 11 3" xfId="6102" xr:uid="{00000000-0005-0000-0000-0000431E0000}"/>
    <cellStyle name="Note 13 2 11 4" xfId="8149" xr:uid="{00000000-0005-0000-0000-0000441E0000}"/>
    <cellStyle name="Note 13 2 11 5" xfId="4640" xr:uid="{00000000-0005-0000-0000-0000451E0000}"/>
    <cellStyle name="Note 13 2 11 6" xfId="11878" xr:uid="{00000000-0005-0000-0000-0000461E0000}"/>
    <cellStyle name="Note 13 2 12" xfId="2723" xr:uid="{00000000-0005-0000-0000-0000471E0000}"/>
    <cellStyle name="Note 13 2 12 2" xfId="6306" xr:uid="{00000000-0005-0000-0000-0000481E0000}"/>
    <cellStyle name="Note 13 2 12 3" xfId="8318" xr:uid="{00000000-0005-0000-0000-0000491E0000}"/>
    <cellStyle name="Note 13 2 12 4" xfId="9655" xr:uid="{00000000-0005-0000-0000-00004A1E0000}"/>
    <cellStyle name="Note 13 2 13" xfId="4817" xr:uid="{00000000-0005-0000-0000-00004B1E0000}"/>
    <cellStyle name="Note 13 2 14" xfId="4146" xr:uid="{00000000-0005-0000-0000-00004C1E0000}"/>
    <cellStyle name="Note 13 2 15" xfId="7967" xr:uid="{00000000-0005-0000-0000-00004D1E0000}"/>
    <cellStyle name="Note 13 2 2" xfId="1759" xr:uid="{00000000-0005-0000-0000-00004E1E0000}"/>
    <cellStyle name="Note 13 2 2 2" xfId="3236" xr:uid="{00000000-0005-0000-0000-00004F1E0000}"/>
    <cellStyle name="Note 13 2 2 2 2" xfId="6809" xr:uid="{00000000-0005-0000-0000-0000501E0000}"/>
    <cellStyle name="Note 13 2 2 2 3" xfId="8785" xr:uid="{00000000-0005-0000-0000-0000511E0000}"/>
    <cellStyle name="Note 13 2 2 2 4" xfId="10086" xr:uid="{00000000-0005-0000-0000-0000521E0000}"/>
    <cellStyle name="Note 13 2 2 3" xfId="5351" xr:uid="{00000000-0005-0000-0000-0000531E0000}"/>
    <cellStyle name="Note 13 2 2 4" xfId="8703" xr:uid="{00000000-0005-0000-0000-0000541E0000}"/>
    <cellStyle name="Note 13 2 2 5" xfId="11163" xr:uid="{00000000-0005-0000-0000-0000551E0000}"/>
    <cellStyle name="Note 13 2 3" xfId="1925" xr:uid="{00000000-0005-0000-0000-0000561E0000}"/>
    <cellStyle name="Note 13 2 3 2" xfId="3389" xr:uid="{00000000-0005-0000-0000-0000571E0000}"/>
    <cellStyle name="Note 13 2 3 2 2" xfId="6959" xr:uid="{00000000-0005-0000-0000-0000581E0000}"/>
    <cellStyle name="Note 13 2 3 2 3" xfId="8925" xr:uid="{00000000-0005-0000-0000-0000591E0000}"/>
    <cellStyle name="Note 13 2 3 2 4" xfId="10216" xr:uid="{00000000-0005-0000-0000-00005A1E0000}"/>
    <cellStyle name="Note 13 2 3 3" xfId="5513" xr:uid="{00000000-0005-0000-0000-00005B1E0000}"/>
    <cellStyle name="Note 13 2 3 4" xfId="7778" xr:uid="{00000000-0005-0000-0000-00005C1E0000}"/>
    <cellStyle name="Note 13 2 3 5" xfId="11294" xr:uid="{00000000-0005-0000-0000-00005D1E0000}"/>
    <cellStyle name="Note 13 2 4" xfId="1995" xr:uid="{00000000-0005-0000-0000-00005E1E0000}"/>
    <cellStyle name="Note 13 2 4 2" xfId="3458" xr:uid="{00000000-0005-0000-0000-00005F1E0000}"/>
    <cellStyle name="Note 13 2 4 2 2" xfId="7028" xr:uid="{00000000-0005-0000-0000-0000601E0000}"/>
    <cellStyle name="Note 13 2 4 2 3" xfId="8994" xr:uid="{00000000-0005-0000-0000-0000611E0000}"/>
    <cellStyle name="Note 13 2 4 2 4" xfId="10285" xr:uid="{00000000-0005-0000-0000-0000621E0000}"/>
    <cellStyle name="Note 13 2 4 3" xfId="5583" xr:uid="{00000000-0005-0000-0000-0000631E0000}"/>
    <cellStyle name="Note 13 2 4 4" xfId="7684" xr:uid="{00000000-0005-0000-0000-0000641E0000}"/>
    <cellStyle name="Note 13 2 4 5" xfId="11363" xr:uid="{00000000-0005-0000-0000-0000651E0000}"/>
    <cellStyle name="Note 13 2 5" xfId="2063" xr:uid="{00000000-0005-0000-0000-0000661E0000}"/>
    <cellStyle name="Note 13 2 5 2" xfId="3523" xr:uid="{00000000-0005-0000-0000-0000671E0000}"/>
    <cellStyle name="Note 13 2 5 2 2" xfId="7093" xr:uid="{00000000-0005-0000-0000-0000681E0000}"/>
    <cellStyle name="Note 13 2 5 2 3" xfId="9059" xr:uid="{00000000-0005-0000-0000-0000691E0000}"/>
    <cellStyle name="Note 13 2 5 2 4" xfId="10350" xr:uid="{00000000-0005-0000-0000-00006A1E0000}"/>
    <cellStyle name="Note 13 2 5 3" xfId="5651" xr:uid="{00000000-0005-0000-0000-00006B1E0000}"/>
    <cellStyle name="Note 13 2 5 4" xfId="8063" xr:uid="{00000000-0005-0000-0000-00006C1E0000}"/>
    <cellStyle name="Note 13 2 5 5" xfId="11430" xr:uid="{00000000-0005-0000-0000-00006D1E0000}"/>
    <cellStyle name="Note 13 2 6" xfId="2131" xr:uid="{00000000-0005-0000-0000-00006E1E0000}"/>
    <cellStyle name="Note 13 2 6 2" xfId="3590" xr:uid="{00000000-0005-0000-0000-00006F1E0000}"/>
    <cellStyle name="Note 13 2 6 2 2" xfId="7160" xr:uid="{00000000-0005-0000-0000-0000701E0000}"/>
    <cellStyle name="Note 13 2 6 2 3" xfId="9125" xr:uid="{00000000-0005-0000-0000-0000711E0000}"/>
    <cellStyle name="Note 13 2 6 2 4" xfId="10417" xr:uid="{00000000-0005-0000-0000-0000721E0000}"/>
    <cellStyle name="Note 13 2 6 3" xfId="5719" xr:uid="{00000000-0005-0000-0000-0000731E0000}"/>
    <cellStyle name="Note 13 2 6 4" xfId="4464" xr:uid="{00000000-0005-0000-0000-0000741E0000}"/>
    <cellStyle name="Note 13 2 6 5" xfId="11497" xr:uid="{00000000-0005-0000-0000-0000751E0000}"/>
    <cellStyle name="Note 13 2 7" xfId="2203" xr:uid="{00000000-0005-0000-0000-0000761E0000}"/>
    <cellStyle name="Note 13 2 7 2" xfId="3662" xr:uid="{00000000-0005-0000-0000-0000771E0000}"/>
    <cellStyle name="Note 13 2 7 2 2" xfId="7232" xr:uid="{00000000-0005-0000-0000-0000781E0000}"/>
    <cellStyle name="Note 13 2 7 2 3" xfId="9197" xr:uid="{00000000-0005-0000-0000-0000791E0000}"/>
    <cellStyle name="Note 13 2 7 2 4" xfId="10489" xr:uid="{00000000-0005-0000-0000-00007A1E0000}"/>
    <cellStyle name="Note 13 2 7 3" xfId="5791" xr:uid="{00000000-0005-0000-0000-00007B1E0000}"/>
    <cellStyle name="Note 13 2 7 4" xfId="5145" xr:uid="{00000000-0005-0000-0000-00007C1E0000}"/>
    <cellStyle name="Note 13 2 7 5" xfId="11569" xr:uid="{00000000-0005-0000-0000-00007D1E0000}"/>
    <cellStyle name="Note 13 2 8" xfId="2300" xr:uid="{00000000-0005-0000-0000-00007E1E0000}"/>
    <cellStyle name="Note 13 2 8 2" xfId="3757" xr:uid="{00000000-0005-0000-0000-00007F1E0000}"/>
    <cellStyle name="Note 13 2 8 2 2" xfId="7327" xr:uid="{00000000-0005-0000-0000-0000801E0000}"/>
    <cellStyle name="Note 13 2 8 2 3" xfId="9290" xr:uid="{00000000-0005-0000-0000-0000811E0000}"/>
    <cellStyle name="Note 13 2 8 2 4" xfId="10584" xr:uid="{00000000-0005-0000-0000-0000821E0000}"/>
    <cellStyle name="Note 13 2 8 3" xfId="5888" xr:uid="{00000000-0005-0000-0000-0000831E0000}"/>
    <cellStyle name="Note 13 2 8 4" xfId="4684" xr:uid="{00000000-0005-0000-0000-0000841E0000}"/>
    <cellStyle name="Note 13 2 8 5" xfId="11665" xr:uid="{00000000-0005-0000-0000-0000851E0000}"/>
    <cellStyle name="Note 13 2 9" xfId="2392" xr:uid="{00000000-0005-0000-0000-0000861E0000}"/>
    <cellStyle name="Note 13 2 9 2" xfId="3848" xr:uid="{00000000-0005-0000-0000-0000871E0000}"/>
    <cellStyle name="Note 13 2 9 2 2" xfId="7418" xr:uid="{00000000-0005-0000-0000-0000881E0000}"/>
    <cellStyle name="Note 13 2 9 2 3" xfId="9380" xr:uid="{00000000-0005-0000-0000-0000891E0000}"/>
    <cellStyle name="Note 13 2 9 2 4" xfId="10675" xr:uid="{00000000-0005-0000-0000-00008A1E0000}"/>
    <cellStyle name="Note 13 2 9 3" xfId="5980" xr:uid="{00000000-0005-0000-0000-00008B1E0000}"/>
    <cellStyle name="Note 13 2 9 4" xfId="6846" xr:uid="{00000000-0005-0000-0000-00008C1E0000}"/>
    <cellStyle name="Note 13 2 9 5" xfId="11756" xr:uid="{00000000-0005-0000-0000-00008D1E0000}"/>
    <cellStyle name="Note 13 3" xfId="1579" xr:uid="{00000000-0005-0000-0000-00008E1E0000}"/>
    <cellStyle name="Note 13 3 2" xfId="3062" xr:uid="{00000000-0005-0000-0000-00008F1E0000}"/>
    <cellStyle name="Note 13 3 2 2" xfId="6639" xr:uid="{00000000-0005-0000-0000-0000901E0000}"/>
    <cellStyle name="Note 13 3 2 3" xfId="8627" xr:uid="{00000000-0005-0000-0000-0000911E0000}"/>
    <cellStyle name="Note 13 3 2 4" xfId="9943" xr:uid="{00000000-0005-0000-0000-0000921E0000}"/>
    <cellStyle name="Note 13 3 3" xfId="5176" xr:uid="{00000000-0005-0000-0000-0000931E0000}"/>
    <cellStyle name="Note 13 3 4" xfId="7727" xr:uid="{00000000-0005-0000-0000-0000941E0000}"/>
    <cellStyle name="Note 13 3 5" xfId="11025" xr:uid="{00000000-0005-0000-0000-0000951E0000}"/>
    <cellStyle name="Note 13 4" xfId="1841" xr:uid="{00000000-0005-0000-0000-0000961E0000}"/>
    <cellStyle name="Note 13 4 2" xfId="3315" xr:uid="{00000000-0005-0000-0000-0000971E0000}"/>
    <cellStyle name="Note 13 4 2 2" xfId="6885" xr:uid="{00000000-0005-0000-0000-0000981E0000}"/>
    <cellStyle name="Note 13 4 2 3" xfId="8853" xr:uid="{00000000-0005-0000-0000-0000991E0000}"/>
    <cellStyle name="Note 13 4 2 4" xfId="10145" xr:uid="{00000000-0005-0000-0000-00009A1E0000}"/>
    <cellStyle name="Note 13 4 3" xfId="5430" xr:uid="{00000000-0005-0000-0000-00009B1E0000}"/>
    <cellStyle name="Note 13 4 4" xfId="8707" xr:uid="{00000000-0005-0000-0000-00009C1E0000}"/>
    <cellStyle name="Note 13 4 5" xfId="11222" xr:uid="{00000000-0005-0000-0000-00009D1E0000}"/>
    <cellStyle name="Note 13 5" xfId="2120" xr:uid="{00000000-0005-0000-0000-00009E1E0000}"/>
    <cellStyle name="Note 13 5 2" xfId="3579" xr:uid="{00000000-0005-0000-0000-00009F1E0000}"/>
    <cellStyle name="Note 13 5 2 2" xfId="7149" xr:uid="{00000000-0005-0000-0000-0000A01E0000}"/>
    <cellStyle name="Note 13 5 2 3" xfId="9114" xr:uid="{00000000-0005-0000-0000-0000A11E0000}"/>
    <cellStyle name="Note 13 5 2 4" xfId="10406" xr:uid="{00000000-0005-0000-0000-0000A21E0000}"/>
    <cellStyle name="Note 13 5 3" xfId="5708" xr:uid="{00000000-0005-0000-0000-0000A31E0000}"/>
    <cellStyle name="Note 13 5 4" xfId="4457" xr:uid="{00000000-0005-0000-0000-0000A41E0000}"/>
    <cellStyle name="Note 13 5 5" xfId="11486" xr:uid="{00000000-0005-0000-0000-0000A51E0000}"/>
    <cellStyle name="Note 13 6" xfId="2604" xr:uid="{00000000-0005-0000-0000-0000A61E0000}"/>
    <cellStyle name="Note 13 6 2" xfId="6192" xr:uid="{00000000-0005-0000-0000-0000A71E0000}"/>
    <cellStyle name="Note 13 6 3" xfId="8216" xr:uid="{00000000-0005-0000-0000-0000A81E0000}"/>
    <cellStyle name="Note 13 6 4" xfId="9566" xr:uid="{00000000-0005-0000-0000-0000A91E0000}"/>
    <cellStyle name="Note 13 7" xfId="4590" xr:uid="{00000000-0005-0000-0000-0000AA1E0000}"/>
    <cellStyle name="Note 13 8" xfId="4285" xr:uid="{00000000-0005-0000-0000-0000AB1E0000}"/>
    <cellStyle name="Note 13 9" xfId="4707" xr:uid="{00000000-0005-0000-0000-0000AC1E0000}"/>
    <cellStyle name="Note 14" xfId="975" xr:uid="{00000000-0005-0000-0000-0000AD1E0000}"/>
    <cellStyle name="Note 14 2" xfId="1219" xr:uid="{00000000-0005-0000-0000-0000AE1E0000}"/>
    <cellStyle name="Note 14 2 10" xfId="2462" xr:uid="{00000000-0005-0000-0000-0000AF1E0000}"/>
    <cellStyle name="Note 14 2 10 2" xfId="3917" xr:uid="{00000000-0005-0000-0000-0000B01E0000}"/>
    <cellStyle name="Note 14 2 10 2 2" xfId="7487" xr:uid="{00000000-0005-0000-0000-0000B11E0000}"/>
    <cellStyle name="Note 14 2 10 2 3" xfId="9447" xr:uid="{00000000-0005-0000-0000-0000B21E0000}"/>
    <cellStyle name="Note 14 2 10 2 4" xfId="10744" xr:uid="{00000000-0005-0000-0000-0000B31E0000}"/>
    <cellStyle name="Note 14 2 10 3" xfId="6050" xr:uid="{00000000-0005-0000-0000-0000B41E0000}"/>
    <cellStyle name="Note 14 2 10 4" xfId="8125" xr:uid="{00000000-0005-0000-0000-0000B51E0000}"/>
    <cellStyle name="Note 14 2 10 5" xfId="4033" xr:uid="{00000000-0005-0000-0000-0000B61E0000}"/>
    <cellStyle name="Note 14 2 10 6" xfId="11826" xr:uid="{00000000-0005-0000-0000-0000B71E0000}"/>
    <cellStyle name="Note 14 2 11" xfId="2515" xr:uid="{00000000-0005-0000-0000-0000B81E0000}"/>
    <cellStyle name="Note 14 2 11 2" xfId="3970" xr:uid="{00000000-0005-0000-0000-0000B91E0000}"/>
    <cellStyle name="Note 14 2 11 2 2" xfId="7540" xr:uid="{00000000-0005-0000-0000-0000BA1E0000}"/>
    <cellStyle name="Note 14 2 11 2 3" xfId="9500" xr:uid="{00000000-0005-0000-0000-0000BB1E0000}"/>
    <cellStyle name="Note 14 2 11 2 4" xfId="10797" xr:uid="{00000000-0005-0000-0000-0000BC1E0000}"/>
    <cellStyle name="Note 14 2 11 3" xfId="6103" xr:uid="{00000000-0005-0000-0000-0000BD1E0000}"/>
    <cellStyle name="Note 14 2 11 4" xfId="8150" xr:uid="{00000000-0005-0000-0000-0000BE1E0000}"/>
    <cellStyle name="Note 14 2 11 5" xfId="4641" xr:uid="{00000000-0005-0000-0000-0000BF1E0000}"/>
    <cellStyle name="Note 14 2 11 6" xfId="11879" xr:uid="{00000000-0005-0000-0000-0000C01E0000}"/>
    <cellStyle name="Note 14 2 12" xfId="2724" xr:uid="{00000000-0005-0000-0000-0000C11E0000}"/>
    <cellStyle name="Note 14 2 12 2" xfId="6307" xr:uid="{00000000-0005-0000-0000-0000C21E0000}"/>
    <cellStyle name="Note 14 2 12 3" xfId="8319" xr:uid="{00000000-0005-0000-0000-0000C31E0000}"/>
    <cellStyle name="Note 14 2 12 4" xfId="9656" xr:uid="{00000000-0005-0000-0000-0000C41E0000}"/>
    <cellStyle name="Note 14 2 13" xfId="4818" xr:uid="{00000000-0005-0000-0000-0000C51E0000}"/>
    <cellStyle name="Note 14 2 14" xfId="4145" xr:uid="{00000000-0005-0000-0000-0000C61E0000}"/>
    <cellStyle name="Note 14 2 15" xfId="7922" xr:uid="{00000000-0005-0000-0000-0000C71E0000}"/>
    <cellStyle name="Note 14 2 2" xfId="1760" xr:uid="{00000000-0005-0000-0000-0000C81E0000}"/>
    <cellStyle name="Note 14 2 2 2" xfId="3237" xr:uid="{00000000-0005-0000-0000-0000C91E0000}"/>
    <cellStyle name="Note 14 2 2 2 2" xfId="6810" xr:uid="{00000000-0005-0000-0000-0000CA1E0000}"/>
    <cellStyle name="Note 14 2 2 2 3" xfId="8786" xr:uid="{00000000-0005-0000-0000-0000CB1E0000}"/>
    <cellStyle name="Note 14 2 2 2 4" xfId="10087" xr:uid="{00000000-0005-0000-0000-0000CC1E0000}"/>
    <cellStyle name="Note 14 2 2 3" xfId="5352" xr:uid="{00000000-0005-0000-0000-0000CD1E0000}"/>
    <cellStyle name="Note 14 2 2 4" xfId="7769" xr:uid="{00000000-0005-0000-0000-0000CE1E0000}"/>
    <cellStyle name="Note 14 2 2 5" xfId="11164" xr:uid="{00000000-0005-0000-0000-0000CF1E0000}"/>
    <cellStyle name="Note 14 2 3" xfId="1926" xr:uid="{00000000-0005-0000-0000-0000D01E0000}"/>
    <cellStyle name="Note 14 2 3 2" xfId="3390" xr:uid="{00000000-0005-0000-0000-0000D11E0000}"/>
    <cellStyle name="Note 14 2 3 2 2" xfId="6960" xr:uid="{00000000-0005-0000-0000-0000D21E0000}"/>
    <cellStyle name="Note 14 2 3 2 3" xfId="8926" xr:uid="{00000000-0005-0000-0000-0000D31E0000}"/>
    <cellStyle name="Note 14 2 3 2 4" xfId="10217" xr:uid="{00000000-0005-0000-0000-0000D41E0000}"/>
    <cellStyle name="Note 14 2 3 3" xfId="5514" xr:uid="{00000000-0005-0000-0000-0000D51E0000}"/>
    <cellStyle name="Note 14 2 3 4" xfId="7891" xr:uid="{00000000-0005-0000-0000-0000D61E0000}"/>
    <cellStyle name="Note 14 2 3 5" xfId="11295" xr:uid="{00000000-0005-0000-0000-0000D71E0000}"/>
    <cellStyle name="Note 14 2 4" xfId="1996" xr:uid="{00000000-0005-0000-0000-0000D81E0000}"/>
    <cellStyle name="Note 14 2 4 2" xfId="3459" xr:uid="{00000000-0005-0000-0000-0000D91E0000}"/>
    <cellStyle name="Note 14 2 4 2 2" xfId="7029" xr:uid="{00000000-0005-0000-0000-0000DA1E0000}"/>
    <cellStyle name="Note 14 2 4 2 3" xfId="8995" xr:uid="{00000000-0005-0000-0000-0000DB1E0000}"/>
    <cellStyle name="Note 14 2 4 2 4" xfId="10286" xr:uid="{00000000-0005-0000-0000-0000DC1E0000}"/>
    <cellStyle name="Note 14 2 4 3" xfId="5584" xr:uid="{00000000-0005-0000-0000-0000DD1E0000}"/>
    <cellStyle name="Note 14 2 4 4" xfId="7657" xr:uid="{00000000-0005-0000-0000-0000DE1E0000}"/>
    <cellStyle name="Note 14 2 4 5" xfId="11364" xr:uid="{00000000-0005-0000-0000-0000DF1E0000}"/>
    <cellStyle name="Note 14 2 5" xfId="2064" xr:uid="{00000000-0005-0000-0000-0000E01E0000}"/>
    <cellStyle name="Note 14 2 5 2" xfId="3524" xr:uid="{00000000-0005-0000-0000-0000E11E0000}"/>
    <cellStyle name="Note 14 2 5 2 2" xfId="7094" xr:uid="{00000000-0005-0000-0000-0000E21E0000}"/>
    <cellStyle name="Note 14 2 5 2 3" xfId="9060" xr:uid="{00000000-0005-0000-0000-0000E31E0000}"/>
    <cellStyle name="Note 14 2 5 2 4" xfId="10351" xr:uid="{00000000-0005-0000-0000-0000E41E0000}"/>
    <cellStyle name="Note 14 2 5 3" xfId="5652" xr:uid="{00000000-0005-0000-0000-0000E51E0000}"/>
    <cellStyle name="Note 14 2 5 4" xfId="8019" xr:uid="{00000000-0005-0000-0000-0000E61E0000}"/>
    <cellStyle name="Note 14 2 5 5" xfId="11431" xr:uid="{00000000-0005-0000-0000-0000E71E0000}"/>
    <cellStyle name="Note 14 2 6" xfId="2132" xr:uid="{00000000-0005-0000-0000-0000E81E0000}"/>
    <cellStyle name="Note 14 2 6 2" xfId="3591" xr:uid="{00000000-0005-0000-0000-0000E91E0000}"/>
    <cellStyle name="Note 14 2 6 2 2" xfId="7161" xr:uid="{00000000-0005-0000-0000-0000EA1E0000}"/>
    <cellStyle name="Note 14 2 6 2 3" xfId="9126" xr:uid="{00000000-0005-0000-0000-0000EB1E0000}"/>
    <cellStyle name="Note 14 2 6 2 4" xfId="10418" xr:uid="{00000000-0005-0000-0000-0000EC1E0000}"/>
    <cellStyle name="Note 14 2 6 3" xfId="5720" xr:uid="{00000000-0005-0000-0000-0000ED1E0000}"/>
    <cellStyle name="Note 14 2 6 4" xfId="4465" xr:uid="{00000000-0005-0000-0000-0000EE1E0000}"/>
    <cellStyle name="Note 14 2 6 5" xfId="11498" xr:uid="{00000000-0005-0000-0000-0000EF1E0000}"/>
    <cellStyle name="Note 14 2 7" xfId="2204" xr:uid="{00000000-0005-0000-0000-0000F01E0000}"/>
    <cellStyle name="Note 14 2 7 2" xfId="3663" xr:uid="{00000000-0005-0000-0000-0000F11E0000}"/>
    <cellStyle name="Note 14 2 7 2 2" xfId="7233" xr:uid="{00000000-0005-0000-0000-0000F21E0000}"/>
    <cellStyle name="Note 14 2 7 2 3" xfId="9198" xr:uid="{00000000-0005-0000-0000-0000F31E0000}"/>
    <cellStyle name="Note 14 2 7 2 4" xfId="10490" xr:uid="{00000000-0005-0000-0000-0000F41E0000}"/>
    <cellStyle name="Note 14 2 7 3" xfId="5792" xr:uid="{00000000-0005-0000-0000-0000F51E0000}"/>
    <cellStyle name="Note 14 2 7 4" xfId="6609" xr:uid="{00000000-0005-0000-0000-0000F61E0000}"/>
    <cellStyle name="Note 14 2 7 5" xfId="11570" xr:uid="{00000000-0005-0000-0000-0000F71E0000}"/>
    <cellStyle name="Note 14 2 8" xfId="2301" xr:uid="{00000000-0005-0000-0000-0000F81E0000}"/>
    <cellStyle name="Note 14 2 8 2" xfId="3758" xr:uid="{00000000-0005-0000-0000-0000F91E0000}"/>
    <cellStyle name="Note 14 2 8 2 2" xfId="7328" xr:uid="{00000000-0005-0000-0000-0000FA1E0000}"/>
    <cellStyle name="Note 14 2 8 2 3" xfId="9291" xr:uid="{00000000-0005-0000-0000-0000FB1E0000}"/>
    <cellStyle name="Note 14 2 8 2 4" xfId="10585" xr:uid="{00000000-0005-0000-0000-0000FC1E0000}"/>
    <cellStyle name="Note 14 2 8 3" xfId="5889" xr:uid="{00000000-0005-0000-0000-0000FD1E0000}"/>
    <cellStyle name="Note 14 2 8 4" xfId="4802" xr:uid="{00000000-0005-0000-0000-0000FE1E0000}"/>
    <cellStyle name="Note 14 2 8 5" xfId="11666" xr:uid="{00000000-0005-0000-0000-0000FF1E0000}"/>
    <cellStyle name="Note 14 2 9" xfId="2393" xr:uid="{00000000-0005-0000-0000-0000001F0000}"/>
    <cellStyle name="Note 14 2 9 2" xfId="3849" xr:uid="{00000000-0005-0000-0000-0000011F0000}"/>
    <cellStyle name="Note 14 2 9 2 2" xfId="7419" xr:uid="{00000000-0005-0000-0000-0000021F0000}"/>
    <cellStyle name="Note 14 2 9 2 3" xfId="9381" xr:uid="{00000000-0005-0000-0000-0000031F0000}"/>
    <cellStyle name="Note 14 2 9 2 4" xfId="10676" xr:uid="{00000000-0005-0000-0000-0000041F0000}"/>
    <cellStyle name="Note 14 2 9 3" xfId="5981" xr:uid="{00000000-0005-0000-0000-0000051F0000}"/>
    <cellStyle name="Note 14 2 9 4" xfId="6341" xr:uid="{00000000-0005-0000-0000-0000061F0000}"/>
    <cellStyle name="Note 14 2 9 5" xfId="11757" xr:uid="{00000000-0005-0000-0000-0000071F0000}"/>
    <cellStyle name="Note 14 3" xfId="1580" xr:uid="{00000000-0005-0000-0000-0000081F0000}"/>
    <cellStyle name="Note 14 3 2" xfId="3063" xr:uid="{00000000-0005-0000-0000-0000091F0000}"/>
    <cellStyle name="Note 14 3 2 2" xfId="6640" xr:uid="{00000000-0005-0000-0000-00000A1F0000}"/>
    <cellStyle name="Note 14 3 2 3" xfId="8628" xr:uid="{00000000-0005-0000-0000-00000B1F0000}"/>
    <cellStyle name="Note 14 3 2 4" xfId="9944" xr:uid="{00000000-0005-0000-0000-00000C1F0000}"/>
    <cellStyle name="Note 14 3 3" xfId="5177" xr:uid="{00000000-0005-0000-0000-00000D1F0000}"/>
    <cellStyle name="Note 14 3 4" xfId="8888" xr:uid="{00000000-0005-0000-0000-00000E1F0000}"/>
    <cellStyle name="Note 14 3 5" xfId="11026" xr:uid="{00000000-0005-0000-0000-00000F1F0000}"/>
    <cellStyle name="Note 14 4" xfId="1276" xr:uid="{00000000-0005-0000-0000-0000101F0000}"/>
    <cellStyle name="Note 14 4 2" xfId="2777" xr:uid="{00000000-0005-0000-0000-0000111F0000}"/>
    <cellStyle name="Note 14 4 2 2" xfId="6356" xr:uid="{00000000-0005-0000-0000-0000121F0000}"/>
    <cellStyle name="Note 14 4 2 3" xfId="8364" xr:uid="{00000000-0005-0000-0000-0000131F0000}"/>
    <cellStyle name="Note 14 4 2 4" xfId="9689" xr:uid="{00000000-0005-0000-0000-0000141F0000}"/>
    <cellStyle name="Note 14 4 3" xfId="4874" xr:uid="{00000000-0005-0000-0000-0000151F0000}"/>
    <cellStyle name="Note 14 4 4" xfId="7977" xr:uid="{00000000-0005-0000-0000-0000161F0000}"/>
    <cellStyle name="Note 14 4 5" xfId="8358" xr:uid="{00000000-0005-0000-0000-0000171F0000}"/>
    <cellStyle name="Note 14 5" xfId="1449" xr:uid="{00000000-0005-0000-0000-0000181F0000}"/>
    <cellStyle name="Note 14 5 2" xfId="2936" xr:uid="{00000000-0005-0000-0000-0000191F0000}"/>
    <cellStyle name="Note 14 5 2 2" xfId="6513" xr:uid="{00000000-0005-0000-0000-00001A1F0000}"/>
    <cellStyle name="Note 14 5 2 3" xfId="8516" xr:uid="{00000000-0005-0000-0000-00001B1F0000}"/>
    <cellStyle name="Note 14 5 2 4" xfId="9837" xr:uid="{00000000-0005-0000-0000-00001C1F0000}"/>
    <cellStyle name="Note 14 5 3" xfId="5046" xr:uid="{00000000-0005-0000-0000-00001D1F0000}"/>
    <cellStyle name="Note 14 5 4" xfId="8563" xr:uid="{00000000-0005-0000-0000-00001E1F0000}"/>
    <cellStyle name="Note 14 5 5" xfId="10918" xr:uid="{00000000-0005-0000-0000-00001F1F0000}"/>
    <cellStyle name="Note 14 6" xfId="2605" xr:uid="{00000000-0005-0000-0000-0000201F0000}"/>
    <cellStyle name="Note 14 6 2" xfId="6193" xr:uid="{00000000-0005-0000-0000-0000211F0000}"/>
    <cellStyle name="Note 14 6 3" xfId="8217" xr:uid="{00000000-0005-0000-0000-0000221F0000}"/>
    <cellStyle name="Note 14 6 4" xfId="9567" xr:uid="{00000000-0005-0000-0000-0000231F0000}"/>
    <cellStyle name="Note 14 7" xfId="4591" xr:uid="{00000000-0005-0000-0000-0000241F0000}"/>
    <cellStyle name="Note 14 8" xfId="4284" xr:uid="{00000000-0005-0000-0000-0000251F0000}"/>
    <cellStyle name="Note 14 9" xfId="4859" xr:uid="{00000000-0005-0000-0000-0000261F0000}"/>
    <cellStyle name="Note 15" xfId="976" xr:uid="{00000000-0005-0000-0000-0000271F0000}"/>
    <cellStyle name="Note 15 2" xfId="1220" xr:uid="{00000000-0005-0000-0000-0000281F0000}"/>
    <cellStyle name="Note 15 2 10" xfId="2463" xr:uid="{00000000-0005-0000-0000-0000291F0000}"/>
    <cellStyle name="Note 15 2 10 2" xfId="3918" xr:uid="{00000000-0005-0000-0000-00002A1F0000}"/>
    <cellStyle name="Note 15 2 10 2 2" xfId="7488" xr:uid="{00000000-0005-0000-0000-00002B1F0000}"/>
    <cellStyle name="Note 15 2 10 2 3" xfId="9448" xr:uid="{00000000-0005-0000-0000-00002C1F0000}"/>
    <cellStyle name="Note 15 2 10 2 4" xfId="10745" xr:uid="{00000000-0005-0000-0000-00002D1F0000}"/>
    <cellStyle name="Note 15 2 10 3" xfId="6051" xr:uid="{00000000-0005-0000-0000-00002E1F0000}"/>
    <cellStyle name="Note 15 2 10 4" xfId="8126" xr:uid="{00000000-0005-0000-0000-00002F1F0000}"/>
    <cellStyle name="Note 15 2 10 5" xfId="4050" xr:uid="{00000000-0005-0000-0000-0000301F0000}"/>
    <cellStyle name="Note 15 2 10 6" xfId="11827" xr:uid="{00000000-0005-0000-0000-0000311F0000}"/>
    <cellStyle name="Note 15 2 11" xfId="2516" xr:uid="{00000000-0005-0000-0000-0000321F0000}"/>
    <cellStyle name="Note 15 2 11 2" xfId="3971" xr:uid="{00000000-0005-0000-0000-0000331F0000}"/>
    <cellStyle name="Note 15 2 11 2 2" xfId="7541" xr:uid="{00000000-0005-0000-0000-0000341F0000}"/>
    <cellStyle name="Note 15 2 11 2 3" xfId="9501" xr:uid="{00000000-0005-0000-0000-0000351F0000}"/>
    <cellStyle name="Note 15 2 11 2 4" xfId="10798" xr:uid="{00000000-0005-0000-0000-0000361F0000}"/>
    <cellStyle name="Note 15 2 11 3" xfId="6104" xr:uid="{00000000-0005-0000-0000-0000371F0000}"/>
    <cellStyle name="Note 15 2 11 4" xfId="8151" xr:uid="{00000000-0005-0000-0000-0000381F0000}"/>
    <cellStyle name="Note 15 2 11 5" xfId="4695" xr:uid="{00000000-0005-0000-0000-0000391F0000}"/>
    <cellStyle name="Note 15 2 11 6" xfId="11880" xr:uid="{00000000-0005-0000-0000-00003A1F0000}"/>
    <cellStyle name="Note 15 2 12" xfId="2725" xr:uid="{00000000-0005-0000-0000-00003B1F0000}"/>
    <cellStyle name="Note 15 2 12 2" xfId="6308" xr:uid="{00000000-0005-0000-0000-00003C1F0000}"/>
    <cellStyle name="Note 15 2 12 3" xfId="8320" xr:uid="{00000000-0005-0000-0000-00003D1F0000}"/>
    <cellStyle name="Note 15 2 12 4" xfId="9657" xr:uid="{00000000-0005-0000-0000-00003E1F0000}"/>
    <cellStyle name="Note 15 2 13" xfId="4819" xr:uid="{00000000-0005-0000-0000-00003F1F0000}"/>
    <cellStyle name="Note 15 2 14" xfId="4144" xr:uid="{00000000-0005-0000-0000-0000401F0000}"/>
    <cellStyle name="Note 15 2 15" xfId="4101" xr:uid="{00000000-0005-0000-0000-0000411F0000}"/>
    <cellStyle name="Note 15 2 2" xfId="1761" xr:uid="{00000000-0005-0000-0000-0000421F0000}"/>
    <cellStyle name="Note 15 2 2 2" xfId="3238" xr:uid="{00000000-0005-0000-0000-0000431F0000}"/>
    <cellStyle name="Note 15 2 2 2 2" xfId="6811" xr:uid="{00000000-0005-0000-0000-0000441F0000}"/>
    <cellStyle name="Note 15 2 2 2 3" xfId="8787" xr:uid="{00000000-0005-0000-0000-0000451F0000}"/>
    <cellStyle name="Note 15 2 2 2 4" xfId="10088" xr:uid="{00000000-0005-0000-0000-0000461F0000}"/>
    <cellStyle name="Note 15 2 2 3" xfId="5353" xr:uid="{00000000-0005-0000-0000-0000471F0000}"/>
    <cellStyle name="Note 15 2 2 4" xfId="8357" xr:uid="{00000000-0005-0000-0000-0000481F0000}"/>
    <cellStyle name="Note 15 2 2 5" xfId="11165" xr:uid="{00000000-0005-0000-0000-0000491F0000}"/>
    <cellStyle name="Note 15 2 3" xfId="1927" xr:uid="{00000000-0005-0000-0000-00004A1F0000}"/>
    <cellStyle name="Note 15 2 3 2" xfId="3391" xr:uid="{00000000-0005-0000-0000-00004B1F0000}"/>
    <cellStyle name="Note 15 2 3 2 2" xfId="6961" xr:uid="{00000000-0005-0000-0000-00004C1F0000}"/>
    <cellStyle name="Note 15 2 3 2 3" xfId="8927" xr:uid="{00000000-0005-0000-0000-00004D1F0000}"/>
    <cellStyle name="Note 15 2 3 2 4" xfId="10218" xr:uid="{00000000-0005-0000-0000-00004E1F0000}"/>
    <cellStyle name="Note 15 2 3 3" xfId="5515" xr:uid="{00000000-0005-0000-0000-00004F1F0000}"/>
    <cellStyle name="Note 15 2 3 4" xfId="7794" xr:uid="{00000000-0005-0000-0000-0000501F0000}"/>
    <cellStyle name="Note 15 2 3 5" xfId="11296" xr:uid="{00000000-0005-0000-0000-0000511F0000}"/>
    <cellStyle name="Note 15 2 4" xfId="1997" xr:uid="{00000000-0005-0000-0000-0000521F0000}"/>
    <cellStyle name="Note 15 2 4 2" xfId="3460" xr:uid="{00000000-0005-0000-0000-0000531F0000}"/>
    <cellStyle name="Note 15 2 4 2 2" xfId="7030" xr:uid="{00000000-0005-0000-0000-0000541F0000}"/>
    <cellStyle name="Note 15 2 4 2 3" xfId="8996" xr:uid="{00000000-0005-0000-0000-0000551F0000}"/>
    <cellStyle name="Note 15 2 4 2 4" xfId="10287" xr:uid="{00000000-0005-0000-0000-0000561F0000}"/>
    <cellStyle name="Note 15 2 4 3" xfId="5585" xr:uid="{00000000-0005-0000-0000-0000571F0000}"/>
    <cellStyle name="Note 15 2 4 4" xfId="7622" xr:uid="{00000000-0005-0000-0000-0000581F0000}"/>
    <cellStyle name="Note 15 2 4 5" xfId="11365" xr:uid="{00000000-0005-0000-0000-0000591F0000}"/>
    <cellStyle name="Note 15 2 5" xfId="2065" xr:uid="{00000000-0005-0000-0000-00005A1F0000}"/>
    <cellStyle name="Note 15 2 5 2" xfId="3525" xr:uid="{00000000-0005-0000-0000-00005B1F0000}"/>
    <cellStyle name="Note 15 2 5 2 2" xfId="7095" xr:uid="{00000000-0005-0000-0000-00005C1F0000}"/>
    <cellStyle name="Note 15 2 5 2 3" xfId="9061" xr:uid="{00000000-0005-0000-0000-00005D1F0000}"/>
    <cellStyle name="Note 15 2 5 2 4" xfId="10352" xr:uid="{00000000-0005-0000-0000-00005E1F0000}"/>
    <cellStyle name="Note 15 2 5 3" xfId="5653" xr:uid="{00000000-0005-0000-0000-00005F1F0000}"/>
    <cellStyle name="Note 15 2 5 4" xfId="7687" xr:uid="{00000000-0005-0000-0000-0000601F0000}"/>
    <cellStyle name="Note 15 2 5 5" xfId="11432" xr:uid="{00000000-0005-0000-0000-0000611F0000}"/>
    <cellStyle name="Note 15 2 6" xfId="2133" xr:uid="{00000000-0005-0000-0000-0000621F0000}"/>
    <cellStyle name="Note 15 2 6 2" xfId="3592" xr:uid="{00000000-0005-0000-0000-0000631F0000}"/>
    <cellStyle name="Note 15 2 6 2 2" xfId="7162" xr:uid="{00000000-0005-0000-0000-0000641F0000}"/>
    <cellStyle name="Note 15 2 6 2 3" xfId="9127" xr:uid="{00000000-0005-0000-0000-0000651F0000}"/>
    <cellStyle name="Note 15 2 6 2 4" xfId="10419" xr:uid="{00000000-0005-0000-0000-0000661F0000}"/>
    <cellStyle name="Note 15 2 6 3" xfId="5721" xr:uid="{00000000-0005-0000-0000-0000671F0000}"/>
    <cellStyle name="Note 15 2 6 4" xfId="4466" xr:uid="{00000000-0005-0000-0000-0000681F0000}"/>
    <cellStyle name="Note 15 2 6 5" xfId="11499" xr:uid="{00000000-0005-0000-0000-0000691F0000}"/>
    <cellStyle name="Note 15 2 7" xfId="2205" xr:uid="{00000000-0005-0000-0000-00006A1F0000}"/>
    <cellStyle name="Note 15 2 7 2" xfId="3664" xr:uid="{00000000-0005-0000-0000-00006B1F0000}"/>
    <cellStyle name="Note 15 2 7 2 2" xfId="7234" xr:uid="{00000000-0005-0000-0000-00006C1F0000}"/>
    <cellStyle name="Note 15 2 7 2 3" xfId="9199" xr:uid="{00000000-0005-0000-0000-00006D1F0000}"/>
    <cellStyle name="Note 15 2 7 2 4" xfId="10491" xr:uid="{00000000-0005-0000-0000-00006E1F0000}"/>
    <cellStyle name="Note 15 2 7 3" xfId="5793" xr:uid="{00000000-0005-0000-0000-00006F1F0000}"/>
    <cellStyle name="Note 15 2 7 4" xfId="5050" xr:uid="{00000000-0005-0000-0000-0000701F0000}"/>
    <cellStyle name="Note 15 2 7 5" xfId="11571" xr:uid="{00000000-0005-0000-0000-0000711F0000}"/>
    <cellStyle name="Note 15 2 8" xfId="2302" xr:uid="{00000000-0005-0000-0000-0000721F0000}"/>
    <cellStyle name="Note 15 2 8 2" xfId="3759" xr:uid="{00000000-0005-0000-0000-0000731F0000}"/>
    <cellStyle name="Note 15 2 8 2 2" xfId="7329" xr:uid="{00000000-0005-0000-0000-0000741F0000}"/>
    <cellStyle name="Note 15 2 8 2 3" xfId="9292" xr:uid="{00000000-0005-0000-0000-0000751F0000}"/>
    <cellStyle name="Note 15 2 8 2 4" xfId="10586" xr:uid="{00000000-0005-0000-0000-0000761F0000}"/>
    <cellStyle name="Note 15 2 8 3" xfId="5890" xr:uid="{00000000-0005-0000-0000-0000771F0000}"/>
    <cellStyle name="Note 15 2 8 4" xfId="4801" xr:uid="{00000000-0005-0000-0000-0000781F0000}"/>
    <cellStyle name="Note 15 2 8 5" xfId="11667" xr:uid="{00000000-0005-0000-0000-0000791F0000}"/>
    <cellStyle name="Note 15 2 9" xfId="2394" xr:uid="{00000000-0005-0000-0000-00007A1F0000}"/>
    <cellStyle name="Note 15 2 9 2" xfId="3850" xr:uid="{00000000-0005-0000-0000-00007B1F0000}"/>
    <cellStyle name="Note 15 2 9 2 2" xfId="7420" xr:uid="{00000000-0005-0000-0000-00007C1F0000}"/>
    <cellStyle name="Note 15 2 9 2 3" xfId="9382" xr:uid="{00000000-0005-0000-0000-00007D1F0000}"/>
    <cellStyle name="Note 15 2 9 2 4" xfId="10677" xr:uid="{00000000-0005-0000-0000-00007E1F0000}"/>
    <cellStyle name="Note 15 2 9 3" xfId="5982" xr:uid="{00000000-0005-0000-0000-00007F1F0000}"/>
    <cellStyle name="Note 15 2 9 4" xfId="5254" xr:uid="{00000000-0005-0000-0000-0000801F0000}"/>
    <cellStyle name="Note 15 2 9 5" xfId="11758" xr:uid="{00000000-0005-0000-0000-0000811F0000}"/>
    <cellStyle name="Note 15 3" xfId="1581" xr:uid="{00000000-0005-0000-0000-0000821F0000}"/>
    <cellStyle name="Note 15 3 2" xfId="3064" xr:uid="{00000000-0005-0000-0000-0000831F0000}"/>
    <cellStyle name="Note 15 3 2 2" xfId="6641" xr:uid="{00000000-0005-0000-0000-0000841F0000}"/>
    <cellStyle name="Note 15 3 2 3" xfId="8629" xr:uid="{00000000-0005-0000-0000-0000851F0000}"/>
    <cellStyle name="Note 15 3 2 4" xfId="9945" xr:uid="{00000000-0005-0000-0000-0000861F0000}"/>
    <cellStyle name="Note 15 3 3" xfId="5178" xr:uid="{00000000-0005-0000-0000-0000871F0000}"/>
    <cellStyle name="Note 15 3 4" xfId="7903" xr:uid="{00000000-0005-0000-0000-0000881F0000}"/>
    <cellStyle name="Note 15 3 5" xfId="11027" xr:uid="{00000000-0005-0000-0000-0000891F0000}"/>
    <cellStyle name="Note 15 4" xfId="1373" xr:uid="{00000000-0005-0000-0000-00008A1F0000}"/>
    <cellStyle name="Note 15 4 2" xfId="2869" xr:uid="{00000000-0005-0000-0000-00008B1F0000}"/>
    <cellStyle name="Note 15 4 2 2" xfId="6448" xr:uid="{00000000-0005-0000-0000-00008C1F0000}"/>
    <cellStyle name="Note 15 4 2 3" xfId="8449" xr:uid="{00000000-0005-0000-0000-00008D1F0000}"/>
    <cellStyle name="Note 15 4 2 4" xfId="9774" xr:uid="{00000000-0005-0000-0000-00008E1F0000}"/>
    <cellStyle name="Note 15 4 3" xfId="4971" xr:uid="{00000000-0005-0000-0000-00008F1F0000}"/>
    <cellStyle name="Note 15 4 4" xfId="8667" xr:uid="{00000000-0005-0000-0000-0000901F0000}"/>
    <cellStyle name="Note 15 4 5" xfId="10856" xr:uid="{00000000-0005-0000-0000-0000911F0000}"/>
    <cellStyle name="Note 15 5" xfId="1303" xr:uid="{00000000-0005-0000-0000-0000921F0000}"/>
    <cellStyle name="Note 15 5 2" xfId="2803" xr:uid="{00000000-0005-0000-0000-0000931F0000}"/>
    <cellStyle name="Note 15 5 2 2" xfId="6382" xr:uid="{00000000-0005-0000-0000-0000941F0000}"/>
    <cellStyle name="Note 15 5 2 3" xfId="8385" xr:uid="{00000000-0005-0000-0000-0000951F0000}"/>
    <cellStyle name="Note 15 5 2 4" xfId="9709" xr:uid="{00000000-0005-0000-0000-0000961F0000}"/>
    <cellStyle name="Note 15 5 3" xfId="4901" xr:uid="{00000000-0005-0000-0000-0000971F0000}"/>
    <cellStyle name="Note 15 5 4" xfId="7958" xr:uid="{00000000-0005-0000-0000-0000981F0000}"/>
    <cellStyle name="Note 15 5 5" xfId="4245" xr:uid="{00000000-0005-0000-0000-0000991F0000}"/>
    <cellStyle name="Note 15 6" xfId="2606" xr:uid="{00000000-0005-0000-0000-00009A1F0000}"/>
    <cellStyle name="Note 15 6 2" xfId="6194" xr:uid="{00000000-0005-0000-0000-00009B1F0000}"/>
    <cellStyle name="Note 15 6 3" xfId="8218" xr:uid="{00000000-0005-0000-0000-00009C1F0000}"/>
    <cellStyle name="Note 15 6 4" xfId="9568" xr:uid="{00000000-0005-0000-0000-00009D1F0000}"/>
    <cellStyle name="Note 15 7" xfId="4592" xr:uid="{00000000-0005-0000-0000-00009E1F0000}"/>
    <cellStyle name="Note 15 8" xfId="4283" xr:uid="{00000000-0005-0000-0000-00009F1F0000}"/>
    <cellStyle name="Note 15 9" xfId="5389" xr:uid="{00000000-0005-0000-0000-0000A01F0000}"/>
    <cellStyle name="Note 16" xfId="977" xr:uid="{00000000-0005-0000-0000-0000A11F0000}"/>
    <cellStyle name="Note 16 2" xfId="1221" xr:uid="{00000000-0005-0000-0000-0000A21F0000}"/>
    <cellStyle name="Note 16 2 10" xfId="2464" xr:uid="{00000000-0005-0000-0000-0000A31F0000}"/>
    <cellStyle name="Note 16 2 10 2" xfId="3919" xr:uid="{00000000-0005-0000-0000-0000A41F0000}"/>
    <cellStyle name="Note 16 2 10 2 2" xfId="7489" xr:uid="{00000000-0005-0000-0000-0000A51F0000}"/>
    <cellStyle name="Note 16 2 10 2 3" xfId="9449" xr:uid="{00000000-0005-0000-0000-0000A61F0000}"/>
    <cellStyle name="Note 16 2 10 2 4" xfId="10746" xr:uid="{00000000-0005-0000-0000-0000A71F0000}"/>
    <cellStyle name="Note 16 2 10 3" xfId="6052" xr:uid="{00000000-0005-0000-0000-0000A81F0000}"/>
    <cellStyle name="Note 16 2 10 4" xfId="8127" xr:uid="{00000000-0005-0000-0000-0000A91F0000}"/>
    <cellStyle name="Note 16 2 10 5" xfId="4586" xr:uid="{00000000-0005-0000-0000-0000AA1F0000}"/>
    <cellStyle name="Note 16 2 10 6" xfId="11828" xr:uid="{00000000-0005-0000-0000-0000AB1F0000}"/>
    <cellStyle name="Note 16 2 11" xfId="2517" xr:uid="{00000000-0005-0000-0000-0000AC1F0000}"/>
    <cellStyle name="Note 16 2 11 2" xfId="3972" xr:uid="{00000000-0005-0000-0000-0000AD1F0000}"/>
    <cellStyle name="Note 16 2 11 2 2" xfId="7542" xr:uid="{00000000-0005-0000-0000-0000AE1F0000}"/>
    <cellStyle name="Note 16 2 11 2 3" xfId="9502" xr:uid="{00000000-0005-0000-0000-0000AF1F0000}"/>
    <cellStyle name="Note 16 2 11 2 4" xfId="10799" xr:uid="{00000000-0005-0000-0000-0000B01F0000}"/>
    <cellStyle name="Note 16 2 11 3" xfId="6105" xr:uid="{00000000-0005-0000-0000-0000B11F0000}"/>
    <cellStyle name="Note 16 2 11 4" xfId="8152" xr:uid="{00000000-0005-0000-0000-0000B21F0000}"/>
    <cellStyle name="Note 16 2 11 5" xfId="4642" xr:uid="{00000000-0005-0000-0000-0000B31F0000}"/>
    <cellStyle name="Note 16 2 11 6" xfId="11881" xr:uid="{00000000-0005-0000-0000-0000B41F0000}"/>
    <cellStyle name="Note 16 2 12" xfId="2726" xr:uid="{00000000-0005-0000-0000-0000B51F0000}"/>
    <cellStyle name="Note 16 2 12 2" xfId="6309" xr:uid="{00000000-0005-0000-0000-0000B61F0000}"/>
    <cellStyle name="Note 16 2 12 3" xfId="8321" xr:uid="{00000000-0005-0000-0000-0000B71F0000}"/>
    <cellStyle name="Note 16 2 12 4" xfId="9658" xr:uid="{00000000-0005-0000-0000-0000B81F0000}"/>
    <cellStyle name="Note 16 2 13" xfId="4820" xr:uid="{00000000-0005-0000-0000-0000B91F0000}"/>
    <cellStyle name="Note 16 2 14" xfId="4143" xr:uid="{00000000-0005-0000-0000-0000BA1F0000}"/>
    <cellStyle name="Note 16 2 15" xfId="8059" xr:uid="{00000000-0005-0000-0000-0000BB1F0000}"/>
    <cellStyle name="Note 16 2 2" xfId="1762" xr:uid="{00000000-0005-0000-0000-0000BC1F0000}"/>
    <cellStyle name="Note 16 2 2 2" xfId="3239" xr:uid="{00000000-0005-0000-0000-0000BD1F0000}"/>
    <cellStyle name="Note 16 2 2 2 2" xfId="6812" xr:uid="{00000000-0005-0000-0000-0000BE1F0000}"/>
    <cellStyle name="Note 16 2 2 2 3" xfId="8788" xr:uid="{00000000-0005-0000-0000-0000BF1F0000}"/>
    <cellStyle name="Note 16 2 2 2 4" xfId="10089" xr:uid="{00000000-0005-0000-0000-0000C01F0000}"/>
    <cellStyle name="Note 16 2 2 3" xfId="5354" xr:uid="{00000000-0005-0000-0000-0000C11F0000}"/>
    <cellStyle name="Note 16 2 2 4" xfId="8823" xr:uid="{00000000-0005-0000-0000-0000C21F0000}"/>
    <cellStyle name="Note 16 2 2 5" xfId="11166" xr:uid="{00000000-0005-0000-0000-0000C31F0000}"/>
    <cellStyle name="Note 16 2 3" xfId="1928" xr:uid="{00000000-0005-0000-0000-0000C41F0000}"/>
    <cellStyle name="Note 16 2 3 2" xfId="3392" xr:uid="{00000000-0005-0000-0000-0000C51F0000}"/>
    <cellStyle name="Note 16 2 3 2 2" xfId="6962" xr:uid="{00000000-0005-0000-0000-0000C61F0000}"/>
    <cellStyle name="Note 16 2 3 2 3" xfId="8928" xr:uid="{00000000-0005-0000-0000-0000C71F0000}"/>
    <cellStyle name="Note 16 2 3 2 4" xfId="10219" xr:uid="{00000000-0005-0000-0000-0000C81F0000}"/>
    <cellStyle name="Note 16 2 3 3" xfId="5516" xr:uid="{00000000-0005-0000-0000-0000C91F0000}"/>
    <cellStyle name="Note 16 2 3 4" xfId="7748" xr:uid="{00000000-0005-0000-0000-0000CA1F0000}"/>
    <cellStyle name="Note 16 2 3 5" xfId="11297" xr:uid="{00000000-0005-0000-0000-0000CB1F0000}"/>
    <cellStyle name="Note 16 2 4" xfId="1998" xr:uid="{00000000-0005-0000-0000-0000CC1F0000}"/>
    <cellStyle name="Note 16 2 4 2" xfId="3461" xr:uid="{00000000-0005-0000-0000-0000CD1F0000}"/>
    <cellStyle name="Note 16 2 4 2 2" xfId="7031" xr:uid="{00000000-0005-0000-0000-0000CE1F0000}"/>
    <cellStyle name="Note 16 2 4 2 3" xfId="8997" xr:uid="{00000000-0005-0000-0000-0000CF1F0000}"/>
    <cellStyle name="Note 16 2 4 2 4" xfId="10288" xr:uid="{00000000-0005-0000-0000-0000D01F0000}"/>
    <cellStyle name="Note 16 2 4 3" xfId="5586" xr:uid="{00000000-0005-0000-0000-0000D11F0000}"/>
    <cellStyle name="Note 16 2 4 4" xfId="8068" xr:uid="{00000000-0005-0000-0000-0000D21F0000}"/>
    <cellStyle name="Note 16 2 4 5" xfId="11366" xr:uid="{00000000-0005-0000-0000-0000D31F0000}"/>
    <cellStyle name="Note 16 2 5" xfId="2066" xr:uid="{00000000-0005-0000-0000-0000D41F0000}"/>
    <cellStyle name="Note 16 2 5 2" xfId="3526" xr:uid="{00000000-0005-0000-0000-0000D51F0000}"/>
    <cellStyle name="Note 16 2 5 2 2" xfId="7096" xr:uid="{00000000-0005-0000-0000-0000D61F0000}"/>
    <cellStyle name="Note 16 2 5 2 3" xfId="9062" xr:uid="{00000000-0005-0000-0000-0000D71F0000}"/>
    <cellStyle name="Note 16 2 5 2 4" xfId="10353" xr:uid="{00000000-0005-0000-0000-0000D81F0000}"/>
    <cellStyle name="Note 16 2 5 3" xfId="5654" xr:uid="{00000000-0005-0000-0000-0000D91F0000}"/>
    <cellStyle name="Note 16 2 5 4" xfId="7854" xr:uid="{00000000-0005-0000-0000-0000DA1F0000}"/>
    <cellStyle name="Note 16 2 5 5" xfId="11433" xr:uid="{00000000-0005-0000-0000-0000DB1F0000}"/>
    <cellStyle name="Note 16 2 6" xfId="2134" xr:uid="{00000000-0005-0000-0000-0000DC1F0000}"/>
    <cellStyle name="Note 16 2 6 2" xfId="3593" xr:uid="{00000000-0005-0000-0000-0000DD1F0000}"/>
    <cellStyle name="Note 16 2 6 2 2" xfId="7163" xr:uid="{00000000-0005-0000-0000-0000DE1F0000}"/>
    <cellStyle name="Note 16 2 6 2 3" xfId="9128" xr:uid="{00000000-0005-0000-0000-0000DF1F0000}"/>
    <cellStyle name="Note 16 2 6 2 4" xfId="10420" xr:uid="{00000000-0005-0000-0000-0000E01F0000}"/>
    <cellStyle name="Note 16 2 6 3" xfId="5722" xr:uid="{00000000-0005-0000-0000-0000E11F0000}"/>
    <cellStyle name="Note 16 2 6 4" xfId="4467" xr:uid="{00000000-0005-0000-0000-0000E21F0000}"/>
    <cellStyle name="Note 16 2 6 5" xfId="11500" xr:uid="{00000000-0005-0000-0000-0000E31F0000}"/>
    <cellStyle name="Note 16 2 7" xfId="2206" xr:uid="{00000000-0005-0000-0000-0000E41F0000}"/>
    <cellStyle name="Note 16 2 7 2" xfId="3665" xr:uid="{00000000-0005-0000-0000-0000E51F0000}"/>
    <cellStyle name="Note 16 2 7 2 2" xfId="7235" xr:uid="{00000000-0005-0000-0000-0000E61F0000}"/>
    <cellStyle name="Note 16 2 7 2 3" xfId="9200" xr:uid="{00000000-0005-0000-0000-0000E71F0000}"/>
    <cellStyle name="Note 16 2 7 2 4" xfId="10492" xr:uid="{00000000-0005-0000-0000-0000E81F0000}"/>
    <cellStyle name="Note 16 2 7 3" xfId="5794" xr:uid="{00000000-0005-0000-0000-0000E91F0000}"/>
    <cellStyle name="Note 16 2 7 4" xfId="4515" xr:uid="{00000000-0005-0000-0000-0000EA1F0000}"/>
    <cellStyle name="Note 16 2 7 5" xfId="11572" xr:uid="{00000000-0005-0000-0000-0000EB1F0000}"/>
    <cellStyle name="Note 16 2 8" xfId="2303" xr:uid="{00000000-0005-0000-0000-0000EC1F0000}"/>
    <cellStyle name="Note 16 2 8 2" xfId="3760" xr:uid="{00000000-0005-0000-0000-0000ED1F0000}"/>
    <cellStyle name="Note 16 2 8 2 2" xfId="7330" xr:uid="{00000000-0005-0000-0000-0000EE1F0000}"/>
    <cellStyle name="Note 16 2 8 2 3" xfId="9293" xr:uid="{00000000-0005-0000-0000-0000EF1F0000}"/>
    <cellStyle name="Note 16 2 8 2 4" xfId="10587" xr:uid="{00000000-0005-0000-0000-0000F01F0000}"/>
    <cellStyle name="Note 16 2 8 3" xfId="5891" xr:uid="{00000000-0005-0000-0000-0000F11F0000}"/>
    <cellStyle name="Note 16 2 8 4" xfId="4025" xr:uid="{00000000-0005-0000-0000-0000F21F0000}"/>
    <cellStyle name="Note 16 2 8 5" xfId="11668" xr:uid="{00000000-0005-0000-0000-0000F31F0000}"/>
    <cellStyle name="Note 16 2 9" xfId="2395" xr:uid="{00000000-0005-0000-0000-0000F41F0000}"/>
    <cellStyle name="Note 16 2 9 2" xfId="3851" xr:uid="{00000000-0005-0000-0000-0000F51F0000}"/>
    <cellStyle name="Note 16 2 9 2 2" xfId="7421" xr:uid="{00000000-0005-0000-0000-0000F61F0000}"/>
    <cellStyle name="Note 16 2 9 2 3" xfId="9383" xr:uid="{00000000-0005-0000-0000-0000F71F0000}"/>
    <cellStyle name="Note 16 2 9 2 4" xfId="10678" xr:uid="{00000000-0005-0000-0000-0000F81F0000}"/>
    <cellStyle name="Note 16 2 9 3" xfId="5983" xr:uid="{00000000-0005-0000-0000-0000F91F0000}"/>
    <cellStyle name="Note 16 2 9 4" xfId="6714" xr:uid="{00000000-0005-0000-0000-0000FA1F0000}"/>
    <cellStyle name="Note 16 2 9 5" xfId="11759" xr:uid="{00000000-0005-0000-0000-0000FB1F0000}"/>
    <cellStyle name="Note 16 3" xfId="1582" xr:uid="{00000000-0005-0000-0000-0000FC1F0000}"/>
    <cellStyle name="Note 16 3 2" xfId="3065" xr:uid="{00000000-0005-0000-0000-0000FD1F0000}"/>
    <cellStyle name="Note 16 3 2 2" xfId="6642" xr:uid="{00000000-0005-0000-0000-0000FE1F0000}"/>
    <cellStyle name="Note 16 3 2 3" xfId="8630" xr:uid="{00000000-0005-0000-0000-0000FF1F0000}"/>
    <cellStyle name="Note 16 3 2 4" xfId="9946" xr:uid="{00000000-0005-0000-0000-000000200000}"/>
    <cellStyle name="Note 16 3 3" xfId="5179" xr:uid="{00000000-0005-0000-0000-000001200000}"/>
    <cellStyle name="Note 16 3 4" xfId="8747" xr:uid="{00000000-0005-0000-0000-000002200000}"/>
    <cellStyle name="Note 16 3 5" xfId="11028" xr:uid="{00000000-0005-0000-0000-000003200000}"/>
    <cellStyle name="Note 16 4" xfId="1372" xr:uid="{00000000-0005-0000-0000-000004200000}"/>
    <cellStyle name="Note 16 4 2" xfId="2868" xr:uid="{00000000-0005-0000-0000-000005200000}"/>
    <cellStyle name="Note 16 4 2 2" xfId="6447" xr:uid="{00000000-0005-0000-0000-000006200000}"/>
    <cellStyle name="Note 16 4 2 3" xfId="8448" xr:uid="{00000000-0005-0000-0000-000007200000}"/>
    <cellStyle name="Note 16 4 2 4" xfId="9773" xr:uid="{00000000-0005-0000-0000-000008200000}"/>
    <cellStyle name="Note 16 4 3" xfId="4970" xr:uid="{00000000-0005-0000-0000-000009200000}"/>
    <cellStyle name="Note 16 4 4" xfId="7850" xr:uid="{00000000-0005-0000-0000-00000A200000}"/>
    <cellStyle name="Note 16 4 5" xfId="10855" xr:uid="{00000000-0005-0000-0000-00000B200000}"/>
    <cellStyle name="Note 16 5" xfId="2123" xr:uid="{00000000-0005-0000-0000-00000C200000}"/>
    <cellStyle name="Note 16 5 2" xfId="3582" xr:uid="{00000000-0005-0000-0000-00000D200000}"/>
    <cellStyle name="Note 16 5 2 2" xfId="7152" xr:uid="{00000000-0005-0000-0000-00000E200000}"/>
    <cellStyle name="Note 16 5 2 3" xfId="9117" xr:uid="{00000000-0005-0000-0000-00000F200000}"/>
    <cellStyle name="Note 16 5 2 4" xfId="10409" xr:uid="{00000000-0005-0000-0000-000010200000}"/>
    <cellStyle name="Note 16 5 3" xfId="5711" xr:uid="{00000000-0005-0000-0000-000011200000}"/>
    <cellStyle name="Note 16 5 4" xfId="5000" xr:uid="{00000000-0005-0000-0000-000012200000}"/>
    <cellStyle name="Note 16 5 5" xfId="11489" xr:uid="{00000000-0005-0000-0000-000013200000}"/>
    <cellStyle name="Note 16 6" xfId="2607" xr:uid="{00000000-0005-0000-0000-000014200000}"/>
    <cellStyle name="Note 16 6 2" xfId="6195" xr:uid="{00000000-0005-0000-0000-000015200000}"/>
    <cellStyle name="Note 16 6 3" xfId="8219" xr:uid="{00000000-0005-0000-0000-000016200000}"/>
    <cellStyle name="Note 16 6 4" xfId="9569" xr:uid="{00000000-0005-0000-0000-000017200000}"/>
    <cellStyle name="Note 16 7" xfId="4593" xr:uid="{00000000-0005-0000-0000-000018200000}"/>
    <cellStyle name="Note 16 8" xfId="4282" xr:uid="{00000000-0005-0000-0000-000019200000}"/>
    <cellStyle name="Note 16 9" xfId="6847" xr:uid="{00000000-0005-0000-0000-00001A200000}"/>
    <cellStyle name="Note 17" xfId="978" xr:uid="{00000000-0005-0000-0000-00001B200000}"/>
    <cellStyle name="Note 17 2" xfId="1222" xr:uid="{00000000-0005-0000-0000-00001C200000}"/>
    <cellStyle name="Note 17 2 10" xfId="2465" xr:uid="{00000000-0005-0000-0000-00001D200000}"/>
    <cellStyle name="Note 17 2 10 2" xfId="3920" xr:uid="{00000000-0005-0000-0000-00001E200000}"/>
    <cellStyle name="Note 17 2 10 2 2" xfId="7490" xr:uid="{00000000-0005-0000-0000-00001F200000}"/>
    <cellStyle name="Note 17 2 10 2 3" xfId="9450" xr:uid="{00000000-0005-0000-0000-000020200000}"/>
    <cellStyle name="Note 17 2 10 2 4" xfId="10747" xr:uid="{00000000-0005-0000-0000-000021200000}"/>
    <cellStyle name="Note 17 2 10 3" xfId="6053" xr:uid="{00000000-0005-0000-0000-000022200000}"/>
    <cellStyle name="Note 17 2 10 4" xfId="8128" xr:uid="{00000000-0005-0000-0000-000023200000}"/>
    <cellStyle name="Note 17 2 10 5" xfId="4717" xr:uid="{00000000-0005-0000-0000-000024200000}"/>
    <cellStyle name="Note 17 2 10 6" xfId="11829" xr:uid="{00000000-0005-0000-0000-000025200000}"/>
    <cellStyle name="Note 17 2 11" xfId="2518" xr:uid="{00000000-0005-0000-0000-000026200000}"/>
    <cellStyle name="Note 17 2 11 2" xfId="3973" xr:uid="{00000000-0005-0000-0000-000027200000}"/>
    <cellStyle name="Note 17 2 11 2 2" xfId="7543" xr:uid="{00000000-0005-0000-0000-000028200000}"/>
    <cellStyle name="Note 17 2 11 2 3" xfId="9503" xr:uid="{00000000-0005-0000-0000-000029200000}"/>
    <cellStyle name="Note 17 2 11 2 4" xfId="10800" xr:uid="{00000000-0005-0000-0000-00002A200000}"/>
    <cellStyle name="Note 17 2 11 3" xfId="6106" xr:uid="{00000000-0005-0000-0000-00002B200000}"/>
    <cellStyle name="Note 17 2 11 4" xfId="8153" xr:uid="{00000000-0005-0000-0000-00002C200000}"/>
    <cellStyle name="Note 17 2 11 5" xfId="4643" xr:uid="{00000000-0005-0000-0000-00002D200000}"/>
    <cellStyle name="Note 17 2 11 6" xfId="11882" xr:uid="{00000000-0005-0000-0000-00002E200000}"/>
    <cellStyle name="Note 17 2 12" xfId="2727" xr:uid="{00000000-0005-0000-0000-00002F200000}"/>
    <cellStyle name="Note 17 2 12 2" xfId="6310" xr:uid="{00000000-0005-0000-0000-000030200000}"/>
    <cellStyle name="Note 17 2 12 3" xfId="8322" xr:uid="{00000000-0005-0000-0000-000031200000}"/>
    <cellStyle name="Note 17 2 12 4" xfId="9659" xr:uid="{00000000-0005-0000-0000-000032200000}"/>
    <cellStyle name="Note 17 2 13" xfId="4821" xr:uid="{00000000-0005-0000-0000-000033200000}"/>
    <cellStyle name="Note 17 2 14" xfId="4142" xr:uid="{00000000-0005-0000-0000-000034200000}"/>
    <cellStyle name="Note 17 2 15" xfId="8015" xr:uid="{00000000-0005-0000-0000-000035200000}"/>
    <cellStyle name="Note 17 2 2" xfId="1763" xr:uid="{00000000-0005-0000-0000-000036200000}"/>
    <cellStyle name="Note 17 2 2 2" xfId="3240" xr:uid="{00000000-0005-0000-0000-000037200000}"/>
    <cellStyle name="Note 17 2 2 2 2" xfId="6813" xr:uid="{00000000-0005-0000-0000-000038200000}"/>
    <cellStyle name="Note 17 2 2 2 3" xfId="8789" xr:uid="{00000000-0005-0000-0000-000039200000}"/>
    <cellStyle name="Note 17 2 2 2 4" xfId="10090" xr:uid="{00000000-0005-0000-0000-00003A200000}"/>
    <cellStyle name="Note 17 2 2 3" xfId="5355" xr:uid="{00000000-0005-0000-0000-00003B200000}"/>
    <cellStyle name="Note 17 2 2 4" xfId="7839" xr:uid="{00000000-0005-0000-0000-00003C200000}"/>
    <cellStyle name="Note 17 2 2 5" xfId="11167" xr:uid="{00000000-0005-0000-0000-00003D200000}"/>
    <cellStyle name="Note 17 2 3" xfId="1929" xr:uid="{00000000-0005-0000-0000-00003E200000}"/>
    <cellStyle name="Note 17 2 3 2" xfId="3393" xr:uid="{00000000-0005-0000-0000-00003F200000}"/>
    <cellStyle name="Note 17 2 3 2 2" xfId="6963" xr:uid="{00000000-0005-0000-0000-000040200000}"/>
    <cellStyle name="Note 17 2 3 2 3" xfId="8929" xr:uid="{00000000-0005-0000-0000-000041200000}"/>
    <cellStyle name="Note 17 2 3 2 4" xfId="10220" xr:uid="{00000000-0005-0000-0000-000042200000}"/>
    <cellStyle name="Note 17 2 3 3" xfId="5517" xr:uid="{00000000-0005-0000-0000-000043200000}"/>
    <cellStyle name="Note 17 2 3 4" xfId="8012" xr:uid="{00000000-0005-0000-0000-000044200000}"/>
    <cellStyle name="Note 17 2 3 5" xfId="11298" xr:uid="{00000000-0005-0000-0000-000045200000}"/>
    <cellStyle name="Note 17 2 4" xfId="1999" xr:uid="{00000000-0005-0000-0000-000046200000}"/>
    <cellStyle name="Note 17 2 4 2" xfId="3462" xr:uid="{00000000-0005-0000-0000-000047200000}"/>
    <cellStyle name="Note 17 2 4 2 2" xfId="7032" xr:uid="{00000000-0005-0000-0000-000048200000}"/>
    <cellStyle name="Note 17 2 4 2 3" xfId="8998" xr:uid="{00000000-0005-0000-0000-000049200000}"/>
    <cellStyle name="Note 17 2 4 2 4" xfId="10289" xr:uid="{00000000-0005-0000-0000-00004A200000}"/>
    <cellStyle name="Note 17 2 4 3" xfId="5587" xr:uid="{00000000-0005-0000-0000-00004B200000}"/>
    <cellStyle name="Note 17 2 4 4" xfId="8024" xr:uid="{00000000-0005-0000-0000-00004C200000}"/>
    <cellStyle name="Note 17 2 4 5" xfId="11367" xr:uid="{00000000-0005-0000-0000-00004D200000}"/>
    <cellStyle name="Note 17 2 5" xfId="2067" xr:uid="{00000000-0005-0000-0000-00004E200000}"/>
    <cellStyle name="Note 17 2 5 2" xfId="3527" xr:uid="{00000000-0005-0000-0000-00004F200000}"/>
    <cellStyle name="Note 17 2 5 2 2" xfId="7097" xr:uid="{00000000-0005-0000-0000-000050200000}"/>
    <cellStyle name="Note 17 2 5 2 3" xfId="9063" xr:uid="{00000000-0005-0000-0000-000051200000}"/>
    <cellStyle name="Note 17 2 5 2 4" xfId="10354" xr:uid="{00000000-0005-0000-0000-000052200000}"/>
    <cellStyle name="Note 17 2 5 3" xfId="5655" xr:uid="{00000000-0005-0000-0000-000053200000}"/>
    <cellStyle name="Note 17 2 5 4" xfId="7737" xr:uid="{00000000-0005-0000-0000-000054200000}"/>
    <cellStyle name="Note 17 2 5 5" xfId="11434" xr:uid="{00000000-0005-0000-0000-000055200000}"/>
    <cellStyle name="Note 17 2 6" xfId="2135" xr:uid="{00000000-0005-0000-0000-000056200000}"/>
    <cellStyle name="Note 17 2 6 2" xfId="3594" xr:uid="{00000000-0005-0000-0000-000057200000}"/>
    <cellStyle name="Note 17 2 6 2 2" xfId="7164" xr:uid="{00000000-0005-0000-0000-000058200000}"/>
    <cellStyle name="Note 17 2 6 2 3" xfId="9129" xr:uid="{00000000-0005-0000-0000-000059200000}"/>
    <cellStyle name="Note 17 2 6 2 4" xfId="10421" xr:uid="{00000000-0005-0000-0000-00005A200000}"/>
    <cellStyle name="Note 17 2 6 3" xfId="5723" xr:uid="{00000000-0005-0000-0000-00005B200000}"/>
    <cellStyle name="Note 17 2 6 4" xfId="4468" xr:uid="{00000000-0005-0000-0000-00005C200000}"/>
    <cellStyle name="Note 17 2 6 5" xfId="11501" xr:uid="{00000000-0005-0000-0000-00005D200000}"/>
    <cellStyle name="Note 17 2 7" xfId="2207" xr:uid="{00000000-0005-0000-0000-00005E200000}"/>
    <cellStyle name="Note 17 2 7 2" xfId="3666" xr:uid="{00000000-0005-0000-0000-00005F200000}"/>
    <cellStyle name="Note 17 2 7 2 2" xfId="7236" xr:uid="{00000000-0005-0000-0000-000060200000}"/>
    <cellStyle name="Note 17 2 7 2 3" xfId="9201" xr:uid="{00000000-0005-0000-0000-000061200000}"/>
    <cellStyle name="Note 17 2 7 2 4" xfId="10493" xr:uid="{00000000-0005-0000-0000-000062200000}"/>
    <cellStyle name="Note 17 2 7 3" xfId="5795" xr:uid="{00000000-0005-0000-0000-000063200000}"/>
    <cellStyle name="Note 17 2 7 4" xfId="5146" xr:uid="{00000000-0005-0000-0000-000064200000}"/>
    <cellStyle name="Note 17 2 7 5" xfId="11573" xr:uid="{00000000-0005-0000-0000-000065200000}"/>
    <cellStyle name="Note 17 2 8" xfId="2304" xr:uid="{00000000-0005-0000-0000-000066200000}"/>
    <cellStyle name="Note 17 2 8 2" xfId="3761" xr:uid="{00000000-0005-0000-0000-000067200000}"/>
    <cellStyle name="Note 17 2 8 2 2" xfId="7331" xr:uid="{00000000-0005-0000-0000-000068200000}"/>
    <cellStyle name="Note 17 2 8 2 3" xfId="9294" xr:uid="{00000000-0005-0000-0000-000069200000}"/>
    <cellStyle name="Note 17 2 8 2 4" xfId="10588" xr:uid="{00000000-0005-0000-0000-00006A200000}"/>
    <cellStyle name="Note 17 2 8 3" xfId="5892" xr:uid="{00000000-0005-0000-0000-00006B200000}"/>
    <cellStyle name="Note 17 2 8 4" xfId="4564" xr:uid="{00000000-0005-0000-0000-00006C200000}"/>
    <cellStyle name="Note 17 2 8 5" xfId="11669" xr:uid="{00000000-0005-0000-0000-00006D200000}"/>
    <cellStyle name="Note 17 2 9" xfId="2396" xr:uid="{00000000-0005-0000-0000-00006E200000}"/>
    <cellStyle name="Note 17 2 9 2" xfId="3852" xr:uid="{00000000-0005-0000-0000-00006F200000}"/>
    <cellStyle name="Note 17 2 9 2 2" xfId="7422" xr:uid="{00000000-0005-0000-0000-000070200000}"/>
    <cellStyle name="Note 17 2 9 2 3" xfId="9384" xr:uid="{00000000-0005-0000-0000-000071200000}"/>
    <cellStyle name="Note 17 2 9 2 4" xfId="10679" xr:uid="{00000000-0005-0000-0000-000072200000}"/>
    <cellStyle name="Note 17 2 9 3" xfId="5984" xr:uid="{00000000-0005-0000-0000-000073200000}"/>
    <cellStyle name="Note 17 2 9 4" xfId="6228" xr:uid="{00000000-0005-0000-0000-000074200000}"/>
    <cellStyle name="Note 17 2 9 5" xfId="11760" xr:uid="{00000000-0005-0000-0000-000075200000}"/>
    <cellStyle name="Note 17 3" xfId="1583" xr:uid="{00000000-0005-0000-0000-000076200000}"/>
    <cellStyle name="Note 17 3 2" xfId="3066" xr:uid="{00000000-0005-0000-0000-000077200000}"/>
    <cellStyle name="Note 17 3 2 2" xfId="6643" xr:uid="{00000000-0005-0000-0000-000078200000}"/>
    <cellStyle name="Note 17 3 2 3" xfId="8631" xr:uid="{00000000-0005-0000-0000-000079200000}"/>
    <cellStyle name="Note 17 3 2 4" xfId="9947" xr:uid="{00000000-0005-0000-0000-00007A200000}"/>
    <cellStyle name="Note 17 3 3" xfId="5180" xr:uid="{00000000-0005-0000-0000-00007B200000}"/>
    <cellStyle name="Note 17 3 4" xfId="7806" xr:uid="{00000000-0005-0000-0000-00007C200000}"/>
    <cellStyle name="Note 17 3 5" xfId="11029" xr:uid="{00000000-0005-0000-0000-00007D200000}"/>
    <cellStyle name="Note 17 4" xfId="1371" xr:uid="{00000000-0005-0000-0000-00007E200000}"/>
    <cellStyle name="Note 17 4 2" xfId="2867" xr:uid="{00000000-0005-0000-0000-00007F200000}"/>
    <cellStyle name="Note 17 4 2 2" xfId="6446" xr:uid="{00000000-0005-0000-0000-000080200000}"/>
    <cellStyle name="Note 17 4 2 3" xfId="8447" xr:uid="{00000000-0005-0000-0000-000081200000}"/>
    <cellStyle name="Note 17 4 2 4" xfId="9772" xr:uid="{00000000-0005-0000-0000-000082200000}"/>
    <cellStyle name="Note 17 4 3" xfId="4969" xr:uid="{00000000-0005-0000-0000-000083200000}"/>
    <cellStyle name="Note 17 4 4" xfId="8834" xr:uid="{00000000-0005-0000-0000-000084200000}"/>
    <cellStyle name="Note 17 4 5" xfId="10854" xr:uid="{00000000-0005-0000-0000-000085200000}"/>
    <cellStyle name="Note 17 5" xfId="2122" xr:uid="{00000000-0005-0000-0000-000086200000}"/>
    <cellStyle name="Note 17 5 2" xfId="3581" xr:uid="{00000000-0005-0000-0000-000087200000}"/>
    <cellStyle name="Note 17 5 2 2" xfId="7151" xr:uid="{00000000-0005-0000-0000-000088200000}"/>
    <cellStyle name="Note 17 5 2 3" xfId="9116" xr:uid="{00000000-0005-0000-0000-000089200000}"/>
    <cellStyle name="Note 17 5 2 4" xfId="10408" xr:uid="{00000000-0005-0000-0000-00008A200000}"/>
    <cellStyle name="Note 17 5 3" xfId="5710" xr:uid="{00000000-0005-0000-0000-00008B200000}"/>
    <cellStyle name="Note 17 5 4" xfId="4458" xr:uid="{00000000-0005-0000-0000-00008C200000}"/>
    <cellStyle name="Note 17 5 5" xfId="11488" xr:uid="{00000000-0005-0000-0000-00008D200000}"/>
    <cellStyle name="Note 17 6" xfId="2608" xr:uid="{00000000-0005-0000-0000-00008E200000}"/>
    <cellStyle name="Note 17 6 2" xfId="6196" xr:uid="{00000000-0005-0000-0000-00008F200000}"/>
    <cellStyle name="Note 17 6 3" xfId="8220" xr:uid="{00000000-0005-0000-0000-000090200000}"/>
    <cellStyle name="Note 17 6 4" xfId="9570" xr:uid="{00000000-0005-0000-0000-000091200000}"/>
    <cellStyle name="Note 17 7" xfId="4594" xr:uid="{00000000-0005-0000-0000-000092200000}"/>
    <cellStyle name="Note 17 8" xfId="4281" xr:uid="{00000000-0005-0000-0000-000093200000}"/>
    <cellStyle name="Note 17 9" xfId="7750" xr:uid="{00000000-0005-0000-0000-000094200000}"/>
    <cellStyle name="Note 18" xfId="979" xr:uid="{00000000-0005-0000-0000-000095200000}"/>
    <cellStyle name="Note 18 2" xfId="1223" xr:uid="{00000000-0005-0000-0000-000096200000}"/>
    <cellStyle name="Note 18 2 10" xfId="2466" xr:uid="{00000000-0005-0000-0000-000097200000}"/>
    <cellStyle name="Note 18 2 10 2" xfId="3921" xr:uid="{00000000-0005-0000-0000-000098200000}"/>
    <cellStyle name="Note 18 2 10 2 2" xfId="7491" xr:uid="{00000000-0005-0000-0000-000099200000}"/>
    <cellStyle name="Note 18 2 10 2 3" xfId="9451" xr:uid="{00000000-0005-0000-0000-00009A200000}"/>
    <cellStyle name="Note 18 2 10 2 4" xfId="10748" xr:uid="{00000000-0005-0000-0000-00009B200000}"/>
    <cellStyle name="Note 18 2 10 3" xfId="6054" xr:uid="{00000000-0005-0000-0000-00009C200000}"/>
    <cellStyle name="Note 18 2 10 4" xfId="8129" xr:uid="{00000000-0005-0000-0000-00009D200000}"/>
    <cellStyle name="Note 18 2 10 5" xfId="4867" xr:uid="{00000000-0005-0000-0000-00009E200000}"/>
    <cellStyle name="Note 18 2 10 6" xfId="11830" xr:uid="{00000000-0005-0000-0000-00009F200000}"/>
    <cellStyle name="Note 18 2 11" xfId="2519" xr:uid="{00000000-0005-0000-0000-0000A0200000}"/>
    <cellStyle name="Note 18 2 11 2" xfId="3974" xr:uid="{00000000-0005-0000-0000-0000A1200000}"/>
    <cellStyle name="Note 18 2 11 2 2" xfId="7544" xr:uid="{00000000-0005-0000-0000-0000A2200000}"/>
    <cellStyle name="Note 18 2 11 2 3" xfId="9504" xr:uid="{00000000-0005-0000-0000-0000A3200000}"/>
    <cellStyle name="Note 18 2 11 2 4" xfId="10801" xr:uid="{00000000-0005-0000-0000-0000A4200000}"/>
    <cellStyle name="Note 18 2 11 3" xfId="6107" xr:uid="{00000000-0005-0000-0000-0000A5200000}"/>
    <cellStyle name="Note 18 2 11 4" xfId="8154" xr:uid="{00000000-0005-0000-0000-0000A6200000}"/>
    <cellStyle name="Note 18 2 11 5" xfId="4644" xr:uid="{00000000-0005-0000-0000-0000A7200000}"/>
    <cellStyle name="Note 18 2 11 6" xfId="11883" xr:uid="{00000000-0005-0000-0000-0000A8200000}"/>
    <cellStyle name="Note 18 2 12" xfId="2728" xr:uid="{00000000-0005-0000-0000-0000A9200000}"/>
    <cellStyle name="Note 18 2 12 2" xfId="6311" xr:uid="{00000000-0005-0000-0000-0000AA200000}"/>
    <cellStyle name="Note 18 2 12 3" xfId="8323" xr:uid="{00000000-0005-0000-0000-0000AB200000}"/>
    <cellStyle name="Note 18 2 12 4" xfId="9660" xr:uid="{00000000-0005-0000-0000-0000AC200000}"/>
    <cellStyle name="Note 18 2 13" xfId="4822" xr:uid="{00000000-0005-0000-0000-0000AD200000}"/>
    <cellStyle name="Note 18 2 14" xfId="4141" xr:uid="{00000000-0005-0000-0000-0000AE200000}"/>
    <cellStyle name="Note 18 2 15" xfId="4061" xr:uid="{00000000-0005-0000-0000-0000AF200000}"/>
    <cellStyle name="Note 18 2 2" xfId="1764" xr:uid="{00000000-0005-0000-0000-0000B0200000}"/>
    <cellStyle name="Note 18 2 2 2" xfId="3241" xr:uid="{00000000-0005-0000-0000-0000B1200000}"/>
    <cellStyle name="Note 18 2 2 2 2" xfId="6814" xr:uid="{00000000-0005-0000-0000-0000B2200000}"/>
    <cellStyle name="Note 18 2 2 2 3" xfId="8790" xr:uid="{00000000-0005-0000-0000-0000B3200000}"/>
    <cellStyle name="Note 18 2 2 2 4" xfId="10091" xr:uid="{00000000-0005-0000-0000-0000B4200000}"/>
    <cellStyle name="Note 18 2 2 3" xfId="5356" xr:uid="{00000000-0005-0000-0000-0000B5200000}"/>
    <cellStyle name="Note 18 2 2 4" xfId="4110" xr:uid="{00000000-0005-0000-0000-0000B6200000}"/>
    <cellStyle name="Note 18 2 2 5" xfId="11168" xr:uid="{00000000-0005-0000-0000-0000B7200000}"/>
    <cellStyle name="Note 18 2 3" xfId="1930" xr:uid="{00000000-0005-0000-0000-0000B8200000}"/>
    <cellStyle name="Note 18 2 3 2" xfId="3394" xr:uid="{00000000-0005-0000-0000-0000B9200000}"/>
    <cellStyle name="Note 18 2 3 2 2" xfId="6964" xr:uid="{00000000-0005-0000-0000-0000BA200000}"/>
    <cellStyle name="Note 18 2 3 2 3" xfId="8930" xr:uid="{00000000-0005-0000-0000-0000BB200000}"/>
    <cellStyle name="Note 18 2 3 2 4" xfId="10221" xr:uid="{00000000-0005-0000-0000-0000BC200000}"/>
    <cellStyle name="Note 18 2 3 3" xfId="5518" xr:uid="{00000000-0005-0000-0000-0000BD200000}"/>
    <cellStyle name="Note 18 2 3 4" xfId="7643" xr:uid="{00000000-0005-0000-0000-0000BE200000}"/>
    <cellStyle name="Note 18 2 3 5" xfId="11299" xr:uid="{00000000-0005-0000-0000-0000BF200000}"/>
    <cellStyle name="Note 18 2 4" xfId="2000" xr:uid="{00000000-0005-0000-0000-0000C0200000}"/>
    <cellStyle name="Note 18 2 4 2" xfId="3463" xr:uid="{00000000-0005-0000-0000-0000C1200000}"/>
    <cellStyle name="Note 18 2 4 2 2" xfId="7033" xr:uid="{00000000-0005-0000-0000-0000C2200000}"/>
    <cellStyle name="Note 18 2 4 2 3" xfId="8999" xr:uid="{00000000-0005-0000-0000-0000C3200000}"/>
    <cellStyle name="Note 18 2 4 2 4" xfId="10290" xr:uid="{00000000-0005-0000-0000-0000C4200000}"/>
    <cellStyle name="Note 18 2 4 3" xfId="5588" xr:uid="{00000000-0005-0000-0000-0000C5200000}"/>
    <cellStyle name="Note 18 2 4 4" xfId="7736" xr:uid="{00000000-0005-0000-0000-0000C6200000}"/>
    <cellStyle name="Note 18 2 4 5" xfId="11368" xr:uid="{00000000-0005-0000-0000-0000C7200000}"/>
    <cellStyle name="Note 18 2 5" xfId="2068" xr:uid="{00000000-0005-0000-0000-0000C8200000}"/>
    <cellStyle name="Note 18 2 5 2" xfId="3528" xr:uid="{00000000-0005-0000-0000-0000C9200000}"/>
    <cellStyle name="Note 18 2 5 2 2" xfId="7098" xr:uid="{00000000-0005-0000-0000-0000CA200000}"/>
    <cellStyle name="Note 18 2 5 2 3" xfId="9064" xr:uid="{00000000-0005-0000-0000-0000CB200000}"/>
    <cellStyle name="Note 18 2 5 2 4" xfId="10355" xr:uid="{00000000-0005-0000-0000-0000CC200000}"/>
    <cellStyle name="Note 18 2 5 3" xfId="5656" xr:uid="{00000000-0005-0000-0000-0000CD200000}"/>
    <cellStyle name="Note 18 2 5 4" xfId="7828" xr:uid="{00000000-0005-0000-0000-0000CE200000}"/>
    <cellStyle name="Note 18 2 5 5" xfId="11435" xr:uid="{00000000-0005-0000-0000-0000CF200000}"/>
    <cellStyle name="Note 18 2 6" xfId="2136" xr:uid="{00000000-0005-0000-0000-0000D0200000}"/>
    <cellStyle name="Note 18 2 6 2" xfId="3595" xr:uid="{00000000-0005-0000-0000-0000D1200000}"/>
    <cellStyle name="Note 18 2 6 2 2" xfId="7165" xr:uid="{00000000-0005-0000-0000-0000D2200000}"/>
    <cellStyle name="Note 18 2 6 2 3" xfId="9130" xr:uid="{00000000-0005-0000-0000-0000D3200000}"/>
    <cellStyle name="Note 18 2 6 2 4" xfId="10422" xr:uid="{00000000-0005-0000-0000-0000D4200000}"/>
    <cellStyle name="Note 18 2 6 3" xfId="5724" xr:uid="{00000000-0005-0000-0000-0000D5200000}"/>
    <cellStyle name="Note 18 2 6 4" xfId="4469" xr:uid="{00000000-0005-0000-0000-0000D6200000}"/>
    <cellStyle name="Note 18 2 6 5" xfId="11502" xr:uid="{00000000-0005-0000-0000-0000D7200000}"/>
    <cellStyle name="Note 18 2 7" xfId="2208" xr:uid="{00000000-0005-0000-0000-0000D8200000}"/>
    <cellStyle name="Note 18 2 7 2" xfId="3667" xr:uid="{00000000-0005-0000-0000-0000D9200000}"/>
    <cellStyle name="Note 18 2 7 2 2" xfId="7237" xr:uid="{00000000-0005-0000-0000-0000DA200000}"/>
    <cellStyle name="Note 18 2 7 2 3" xfId="9202" xr:uid="{00000000-0005-0000-0000-0000DB200000}"/>
    <cellStyle name="Note 18 2 7 2 4" xfId="10494" xr:uid="{00000000-0005-0000-0000-0000DC200000}"/>
    <cellStyle name="Note 18 2 7 3" xfId="5796" xr:uid="{00000000-0005-0000-0000-0000DD200000}"/>
    <cellStyle name="Note 18 2 7 4" xfId="6610" xr:uid="{00000000-0005-0000-0000-0000DE200000}"/>
    <cellStyle name="Note 18 2 7 5" xfId="11574" xr:uid="{00000000-0005-0000-0000-0000DF200000}"/>
    <cellStyle name="Note 18 2 8" xfId="2305" xr:uid="{00000000-0005-0000-0000-0000E0200000}"/>
    <cellStyle name="Note 18 2 8 2" xfId="3762" xr:uid="{00000000-0005-0000-0000-0000E1200000}"/>
    <cellStyle name="Note 18 2 8 2 2" xfId="7332" xr:uid="{00000000-0005-0000-0000-0000E2200000}"/>
    <cellStyle name="Note 18 2 8 2 3" xfId="9295" xr:uid="{00000000-0005-0000-0000-0000E3200000}"/>
    <cellStyle name="Note 18 2 8 2 4" xfId="10589" xr:uid="{00000000-0005-0000-0000-0000E4200000}"/>
    <cellStyle name="Note 18 2 8 3" xfId="5893" xr:uid="{00000000-0005-0000-0000-0000E5200000}"/>
    <cellStyle name="Note 18 2 8 4" xfId="4565" xr:uid="{00000000-0005-0000-0000-0000E6200000}"/>
    <cellStyle name="Note 18 2 8 5" xfId="11670" xr:uid="{00000000-0005-0000-0000-0000E7200000}"/>
    <cellStyle name="Note 18 2 9" xfId="2397" xr:uid="{00000000-0005-0000-0000-0000E8200000}"/>
    <cellStyle name="Note 18 2 9 2" xfId="3853" xr:uid="{00000000-0005-0000-0000-0000E9200000}"/>
    <cellStyle name="Note 18 2 9 2 2" xfId="7423" xr:uid="{00000000-0005-0000-0000-0000EA200000}"/>
    <cellStyle name="Note 18 2 9 2 3" xfId="9385" xr:uid="{00000000-0005-0000-0000-0000EB200000}"/>
    <cellStyle name="Note 18 2 9 2 4" xfId="10680" xr:uid="{00000000-0005-0000-0000-0000EC200000}"/>
    <cellStyle name="Note 18 2 9 3" xfId="5985" xr:uid="{00000000-0005-0000-0000-0000ED200000}"/>
    <cellStyle name="Note 18 2 9 4" xfId="4710" xr:uid="{00000000-0005-0000-0000-0000EE200000}"/>
    <cellStyle name="Note 18 2 9 5" xfId="11761" xr:uid="{00000000-0005-0000-0000-0000EF200000}"/>
    <cellStyle name="Note 18 3" xfId="1584" xr:uid="{00000000-0005-0000-0000-0000F0200000}"/>
    <cellStyle name="Note 18 3 2" xfId="3067" xr:uid="{00000000-0005-0000-0000-0000F1200000}"/>
    <cellStyle name="Note 18 3 2 2" xfId="6644" xr:uid="{00000000-0005-0000-0000-0000F2200000}"/>
    <cellStyle name="Note 18 3 2 3" xfId="8632" xr:uid="{00000000-0005-0000-0000-0000F3200000}"/>
    <cellStyle name="Note 18 3 2 4" xfId="9948" xr:uid="{00000000-0005-0000-0000-0000F4200000}"/>
    <cellStyle name="Note 18 3 3" xfId="5181" xr:uid="{00000000-0005-0000-0000-0000F5200000}"/>
    <cellStyle name="Note 18 3 4" xfId="8284" xr:uid="{00000000-0005-0000-0000-0000F6200000}"/>
    <cellStyle name="Note 18 3 5" xfId="11030" xr:uid="{00000000-0005-0000-0000-0000F7200000}"/>
    <cellStyle name="Note 18 4" xfId="1370" xr:uid="{00000000-0005-0000-0000-0000F8200000}"/>
    <cellStyle name="Note 18 4 2" xfId="2866" xr:uid="{00000000-0005-0000-0000-0000F9200000}"/>
    <cellStyle name="Note 18 4 2 2" xfId="6445" xr:uid="{00000000-0005-0000-0000-0000FA200000}"/>
    <cellStyle name="Note 18 4 2 3" xfId="8446" xr:uid="{00000000-0005-0000-0000-0000FB200000}"/>
    <cellStyle name="Note 18 4 2 4" xfId="9771" xr:uid="{00000000-0005-0000-0000-0000FC200000}"/>
    <cellStyle name="Note 18 4 3" xfId="4968" xr:uid="{00000000-0005-0000-0000-0000FD200000}"/>
    <cellStyle name="Note 18 4 4" xfId="7680" xr:uid="{00000000-0005-0000-0000-0000FE200000}"/>
    <cellStyle name="Note 18 4 5" xfId="10853" xr:uid="{00000000-0005-0000-0000-0000FF200000}"/>
    <cellStyle name="Note 18 5" xfId="1450" xr:uid="{00000000-0005-0000-0000-000000210000}"/>
    <cellStyle name="Note 18 5 2" xfId="2937" xr:uid="{00000000-0005-0000-0000-000001210000}"/>
    <cellStyle name="Note 18 5 2 2" xfId="6514" xr:uid="{00000000-0005-0000-0000-000002210000}"/>
    <cellStyle name="Note 18 5 2 3" xfId="8517" xr:uid="{00000000-0005-0000-0000-000003210000}"/>
    <cellStyle name="Note 18 5 2 4" xfId="9838" xr:uid="{00000000-0005-0000-0000-000004210000}"/>
    <cellStyle name="Note 18 5 3" xfId="5047" xr:uid="{00000000-0005-0000-0000-000005210000}"/>
    <cellStyle name="Note 18 5 4" xfId="7679" xr:uid="{00000000-0005-0000-0000-000006210000}"/>
    <cellStyle name="Note 18 5 5" xfId="10919" xr:uid="{00000000-0005-0000-0000-000007210000}"/>
    <cellStyle name="Note 18 6" xfId="2609" xr:uid="{00000000-0005-0000-0000-000008210000}"/>
    <cellStyle name="Note 18 6 2" xfId="6197" xr:uid="{00000000-0005-0000-0000-000009210000}"/>
    <cellStyle name="Note 18 6 3" xfId="8221" xr:uid="{00000000-0005-0000-0000-00000A210000}"/>
    <cellStyle name="Note 18 6 4" xfId="9571" xr:uid="{00000000-0005-0000-0000-00000B210000}"/>
    <cellStyle name="Note 18 7" xfId="4595" xr:uid="{00000000-0005-0000-0000-00000C210000}"/>
    <cellStyle name="Note 18 8" xfId="4280" xr:uid="{00000000-0005-0000-0000-00000D210000}"/>
    <cellStyle name="Note 18 9" xfId="8604" xr:uid="{00000000-0005-0000-0000-00000E210000}"/>
    <cellStyle name="Note 19" xfId="980" xr:uid="{00000000-0005-0000-0000-00000F210000}"/>
    <cellStyle name="Note 19 2" xfId="1224" xr:uid="{00000000-0005-0000-0000-000010210000}"/>
    <cellStyle name="Note 19 2 10" xfId="2467" xr:uid="{00000000-0005-0000-0000-000011210000}"/>
    <cellStyle name="Note 19 2 10 2" xfId="3922" xr:uid="{00000000-0005-0000-0000-000012210000}"/>
    <cellStyle name="Note 19 2 10 2 2" xfId="7492" xr:uid="{00000000-0005-0000-0000-000013210000}"/>
    <cellStyle name="Note 19 2 10 2 3" xfId="9452" xr:uid="{00000000-0005-0000-0000-000014210000}"/>
    <cellStyle name="Note 19 2 10 2 4" xfId="10749" xr:uid="{00000000-0005-0000-0000-000015210000}"/>
    <cellStyle name="Note 19 2 10 3" xfId="6055" xr:uid="{00000000-0005-0000-0000-000016210000}"/>
    <cellStyle name="Note 19 2 10 4" xfId="8130" xr:uid="{00000000-0005-0000-0000-000017210000}"/>
    <cellStyle name="Note 19 2 10 5" xfId="5396" xr:uid="{00000000-0005-0000-0000-000018210000}"/>
    <cellStyle name="Note 19 2 10 6" xfId="11831" xr:uid="{00000000-0005-0000-0000-000019210000}"/>
    <cellStyle name="Note 19 2 11" xfId="2520" xr:uid="{00000000-0005-0000-0000-00001A210000}"/>
    <cellStyle name="Note 19 2 11 2" xfId="3975" xr:uid="{00000000-0005-0000-0000-00001B210000}"/>
    <cellStyle name="Note 19 2 11 2 2" xfId="7545" xr:uid="{00000000-0005-0000-0000-00001C210000}"/>
    <cellStyle name="Note 19 2 11 2 3" xfId="9505" xr:uid="{00000000-0005-0000-0000-00001D210000}"/>
    <cellStyle name="Note 19 2 11 2 4" xfId="10802" xr:uid="{00000000-0005-0000-0000-00001E210000}"/>
    <cellStyle name="Note 19 2 11 3" xfId="6108" xr:uid="{00000000-0005-0000-0000-00001F210000}"/>
    <cellStyle name="Note 19 2 11 4" xfId="8155" xr:uid="{00000000-0005-0000-0000-000020210000}"/>
    <cellStyle name="Note 19 2 11 5" xfId="4645" xr:uid="{00000000-0005-0000-0000-000021210000}"/>
    <cellStyle name="Note 19 2 11 6" xfId="11884" xr:uid="{00000000-0005-0000-0000-000022210000}"/>
    <cellStyle name="Note 19 2 12" xfId="2729" xr:uid="{00000000-0005-0000-0000-000023210000}"/>
    <cellStyle name="Note 19 2 12 2" xfId="6312" xr:uid="{00000000-0005-0000-0000-000024210000}"/>
    <cellStyle name="Note 19 2 12 3" xfId="8324" xr:uid="{00000000-0005-0000-0000-000025210000}"/>
    <cellStyle name="Note 19 2 12 4" xfId="9661" xr:uid="{00000000-0005-0000-0000-000026210000}"/>
    <cellStyle name="Note 19 2 13" xfId="4823" xr:uid="{00000000-0005-0000-0000-000027210000}"/>
    <cellStyle name="Note 19 2 14" xfId="777" xr:uid="{00000000-0005-0000-0000-000028210000}"/>
    <cellStyle name="Note 19 2 15" xfId="7646" xr:uid="{00000000-0005-0000-0000-000029210000}"/>
    <cellStyle name="Note 19 2 2" xfId="1765" xr:uid="{00000000-0005-0000-0000-00002A210000}"/>
    <cellStyle name="Note 19 2 2 2" xfId="3242" xr:uid="{00000000-0005-0000-0000-00002B210000}"/>
    <cellStyle name="Note 19 2 2 2 2" xfId="6815" xr:uid="{00000000-0005-0000-0000-00002C210000}"/>
    <cellStyle name="Note 19 2 2 2 3" xfId="8791" xr:uid="{00000000-0005-0000-0000-00002D210000}"/>
    <cellStyle name="Note 19 2 2 2 4" xfId="10092" xr:uid="{00000000-0005-0000-0000-00002E210000}"/>
    <cellStyle name="Note 19 2 2 3" xfId="5357" xr:uid="{00000000-0005-0000-0000-00002F210000}"/>
    <cellStyle name="Note 19 2 2 4" xfId="4227" xr:uid="{00000000-0005-0000-0000-000030210000}"/>
    <cellStyle name="Note 19 2 2 5" xfId="11169" xr:uid="{00000000-0005-0000-0000-000031210000}"/>
    <cellStyle name="Note 19 2 3" xfId="1931" xr:uid="{00000000-0005-0000-0000-000032210000}"/>
    <cellStyle name="Note 19 2 3 2" xfId="3395" xr:uid="{00000000-0005-0000-0000-000033210000}"/>
    <cellStyle name="Note 19 2 3 2 2" xfId="6965" xr:uid="{00000000-0005-0000-0000-000034210000}"/>
    <cellStyle name="Note 19 2 3 2 3" xfId="8931" xr:uid="{00000000-0005-0000-0000-000035210000}"/>
    <cellStyle name="Note 19 2 3 2 4" xfId="10222" xr:uid="{00000000-0005-0000-0000-000036210000}"/>
    <cellStyle name="Note 19 2 3 3" xfId="5519" xr:uid="{00000000-0005-0000-0000-000037210000}"/>
    <cellStyle name="Note 19 2 3 4" xfId="4094" xr:uid="{00000000-0005-0000-0000-000038210000}"/>
    <cellStyle name="Note 19 2 3 5" xfId="11300" xr:uid="{00000000-0005-0000-0000-000039210000}"/>
    <cellStyle name="Note 19 2 4" xfId="2001" xr:uid="{00000000-0005-0000-0000-00003A210000}"/>
    <cellStyle name="Note 19 2 4 2" xfId="3464" xr:uid="{00000000-0005-0000-0000-00003B210000}"/>
    <cellStyle name="Note 19 2 4 2 2" xfId="7034" xr:uid="{00000000-0005-0000-0000-00003C210000}"/>
    <cellStyle name="Note 19 2 4 2 3" xfId="9000" xr:uid="{00000000-0005-0000-0000-00003D210000}"/>
    <cellStyle name="Note 19 2 4 2 4" xfId="10291" xr:uid="{00000000-0005-0000-0000-00003E210000}"/>
    <cellStyle name="Note 19 2 4 3" xfId="5589" xr:uid="{00000000-0005-0000-0000-00003F210000}"/>
    <cellStyle name="Note 19 2 4 4" xfId="7665" xr:uid="{00000000-0005-0000-0000-000040210000}"/>
    <cellStyle name="Note 19 2 4 5" xfId="11369" xr:uid="{00000000-0005-0000-0000-000041210000}"/>
    <cellStyle name="Note 19 2 5" xfId="2069" xr:uid="{00000000-0005-0000-0000-000042210000}"/>
    <cellStyle name="Note 19 2 5 2" xfId="3529" xr:uid="{00000000-0005-0000-0000-000043210000}"/>
    <cellStyle name="Note 19 2 5 2 2" xfId="7099" xr:uid="{00000000-0005-0000-0000-000044210000}"/>
    <cellStyle name="Note 19 2 5 2 3" xfId="9065" xr:uid="{00000000-0005-0000-0000-000045210000}"/>
    <cellStyle name="Note 19 2 5 2 4" xfId="10356" xr:uid="{00000000-0005-0000-0000-000046210000}"/>
    <cellStyle name="Note 19 2 5 3" xfId="5657" xr:uid="{00000000-0005-0000-0000-000047210000}"/>
    <cellStyle name="Note 19 2 5 4" xfId="7881" xr:uid="{00000000-0005-0000-0000-000048210000}"/>
    <cellStyle name="Note 19 2 5 5" xfId="11436" xr:uid="{00000000-0005-0000-0000-000049210000}"/>
    <cellStyle name="Note 19 2 6" xfId="2137" xr:uid="{00000000-0005-0000-0000-00004A210000}"/>
    <cellStyle name="Note 19 2 6 2" xfId="3596" xr:uid="{00000000-0005-0000-0000-00004B210000}"/>
    <cellStyle name="Note 19 2 6 2 2" xfId="7166" xr:uid="{00000000-0005-0000-0000-00004C210000}"/>
    <cellStyle name="Note 19 2 6 2 3" xfId="9131" xr:uid="{00000000-0005-0000-0000-00004D210000}"/>
    <cellStyle name="Note 19 2 6 2 4" xfId="10423" xr:uid="{00000000-0005-0000-0000-00004E210000}"/>
    <cellStyle name="Note 19 2 6 3" xfId="5725" xr:uid="{00000000-0005-0000-0000-00004F210000}"/>
    <cellStyle name="Note 19 2 6 4" xfId="4021" xr:uid="{00000000-0005-0000-0000-000050210000}"/>
    <cellStyle name="Note 19 2 6 5" xfId="11503" xr:uid="{00000000-0005-0000-0000-000051210000}"/>
    <cellStyle name="Note 19 2 7" xfId="2209" xr:uid="{00000000-0005-0000-0000-000052210000}"/>
    <cellStyle name="Note 19 2 7 2" xfId="3668" xr:uid="{00000000-0005-0000-0000-000053210000}"/>
    <cellStyle name="Note 19 2 7 2 2" xfId="7238" xr:uid="{00000000-0005-0000-0000-000054210000}"/>
    <cellStyle name="Note 19 2 7 2 3" xfId="9203" xr:uid="{00000000-0005-0000-0000-000055210000}"/>
    <cellStyle name="Note 19 2 7 2 4" xfId="10495" xr:uid="{00000000-0005-0000-0000-000056210000}"/>
    <cellStyle name="Note 19 2 7 3" xfId="5797" xr:uid="{00000000-0005-0000-0000-000057210000}"/>
    <cellStyle name="Note 19 2 7 4" xfId="5468" xr:uid="{00000000-0005-0000-0000-000058210000}"/>
    <cellStyle name="Note 19 2 7 5" xfId="11575" xr:uid="{00000000-0005-0000-0000-000059210000}"/>
    <cellStyle name="Note 19 2 8" xfId="2306" xr:uid="{00000000-0005-0000-0000-00005A210000}"/>
    <cellStyle name="Note 19 2 8 2" xfId="3763" xr:uid="{00000000-0005-0000-0000-00005B210000}"/>
    <cellStyle name="Note 19 2 8 2 2" xfId="7333" xr:uid="{00000000-0005-0000-0000-00005C210000}"/>
    <cellStyle name="Note 19 2 8 2 3" xfId="9296" xr:uid="{00000000-0005-0000-0000-00005D210000}"/>
    <cellStyle name="Note 19 2 8 2 4" xfId="10590" xr:uid="{00000000-0005-0000-0000-00005E210000}"/>
    <cellStyle name="Note 19 2 8 3" xfId="5894" xr:uid="{00000000-0005-0000-0000-00005F210000}"/>
    <cellStyle name="Note 19 2 8 4" xfId="4711" xr:uid="{00000000-0005-0000-0000-000060210000}"/>
    <cellStyle name="Note 19 2 8 5" xfId="11671" xr:uid="{00000000-0005-0000-0000-000061210000}"/>
    <cellStyle name="Note 19 2 9" xfId="2398" xr:uid="{00000000-0005-0000-0000-000062210000}"/>
    <cellStyle name="Note 19 2 9 2" xfId="3854" xr:uid="{00000000-0005-0000-0000-000063210000}"/>
    <cellStyle name="Note 19 2 9 2 2" xfId="7424" xr:uid="{00000000-0005-0000-0000-000064210000}"/>
    <cellStyle name="Note 19 2 9 2 3" xfId="9386" xr:uid="{00000000-0005-0000-0000-000065210000}"/>
    <cellStyle name="Note 19 2 9 2 4" xfId="10681" xr:uid="{00000000-0005-0000-0000-000066210000}"/>
    <cellStyle name="Note 19 2 9 3" xfId="5986" xr:uid="{00000000-0005-0000-0000-000067210000}"/>
    <cellStyle name="Note 19 2 9 4" xfId="4861" xr:uid="{00000000-0005-0000-0000-000068210000}"/>
    <cellStyle name="Note 19 2 9 5" xfId="11762" xr:uid="{00000000-0005-0000-0000-000069210000}"/>
    <cellStyle name="Note 19 3" xfId="1585" xr:uid="{00000000-0005-0000-0000-00006A210000}"/>
    <cellStyle name="Note 19 3 2" xfId="3068" xr:uid="{00000000-0005-0000-0000-00006B210000}"/>
    <cellStyle name="Note 19 3 2 2" xfId="6645" xr:uid="{00000000-0005-0000-0000-00006C210000}"/>
    <cellStyle name="Note 19 3 2 3" xfId="8633" xr:uid="{00000000-0005-0000-0000-00006D210000}"/>
    <cellStyle name="Note 19 3 2 4" xfId="9949" xr:uid="{00000000-0005-0000-0000-00006E210000}"/>
    <cellStyle name="Note 19 3 3" xfId="5182" xr:uid="{00000000-0005-0000-0000-00006F210000}"/>
    <cellStyle name="Note 19 3 4" xfId="7966" xr:uid="{00000000-0005-0000-0000-000070210000}"/>
    <cellStyle name="Note 19 3 5" xfId="11031" xr:uid="{00000000-0005-0000-0000-000071210000}"/>
    <cellStyle name="Note 19 4" xfId="1510" xr:uid="{00000000-0005-0000-0000-000072210000}"/>
    <cellStyle name="Note 19 4 2" xfId="2994" xr:uid="{00000000-0005-0000-0000-000073210000}"/>
    <cellStyle name="Note 19 4 2 2" xfId="6571" xr:uid="{00000000-0005-0000-0000-000074210000}"/>
    <cellStyle name="Note 19 4 2 3" xfId="8572" xr:uid="{00000000-0005-0000-0000-000075210000}"/>
    <cellStyle name="Note 19 4 2 4" xfId="9895" xr:uid="{00000000-0005-0000-0000-000076210000}"/>
    <cellStyle name="Note 19 4 3" xfId="5107" xr:uid="{00000000-0005-0000-0000-000077210000}"/>
    <cellStyle name="Note 19 4 4" xfId="8009" xr:uid="{00000000-0005-0000-0000-000078210000}"/>
    <cellStyle name="Note 19 4 5" xfId="10977" xr:uid="{00000000-0005-0000-0000-000079210000}"/>
    <cellStyle name="Note 19 5" xfId="1650" xr:uid="{00000000-0005-0000-0000-00007A210000}"/>
    <cellStyle name="Note 19 5 2" xfId="3128" xr:uid="{00000000-0005-0000-0000-00007B210000}"/>
    <cellStyle name="Note 19 5 2 2" xfId="6704" xr:uid="{00000000-0005-0000-0000-00007C210000}"/>
    <cellStyle name="Note 19 5 2 3" xfId="8691" xr:uid="{00000000-0005-0000-0000-00007D210000}"/>
    <cellStyle name="Note 19 5 2 4" xfId="10004" xr:uid="{00000000-0005-0000-0000-00007E210000}"/>
    <cellStyle name="Note 19 5 3" xfId="5244" xr:uid="{00000000-0005-0000-0000-00007F210000}"/>
    <cellStyle name="Note 19 5 4" xfId="7676" xr:uid="{00000000-0005-0000-0000-000080210000}"/>
    <cellStyle name="Note 19 5 5" xfId="11082" xr:uid="{00000000-0005-0000-0000-000081210000}"/>
    <cellStyle name="Note 19 6" xfId="2610" xr:uid="{00000000-0005-0000-0000-000082210000}"/>
    <cellStyle name="Note 19 6 2" xfId="6198" xr:uid="{00000000-0005-0000-0000-000083210000}"/>
    <cellStyle name="Note 19 6 3" xfId="8222" xr:uid="{00000000-0005-0000-0000-000084210000}"/>
    <cellStyle name="Note 19 6 4" xfId="9572" xr:uid="{00000000-0005-0000-0000-000085210000}"/>
    <cellStyle name="Note 19 7" xfId="4596" xr:uid="{00000000-0005-0000-0000-000086210000}"/>
    <cellStyle name="Note 19 8" xfId="4279" xr:uid="{00000000-0005-0000-0000-000087210000}"/>
    <cellStyle name="Note 19 9" xfId="7707" xr:uid="{00000000-0005-0000-0000-000088210000}"/>
    <cellStyle name="Note 2" xfId="137" xr:uid="{00000000-0005-0000-0000-000089210000}"/>
    <cellStyle name="Note 2 10" xfId="4662" xr:uid="{00000000-0005-0000-0000-00008A210000}"/>
    <cellStyle name="Note 2 11" xfId="719" xr:uid="{00000000-0005-0000-0000-00008B210000}"/>
    <cellStyle name="Note 2 2" xfId="1126" xr:uid="{00000000-0005-0000-0000-00008C210000}"/>
    <cellStyle name="Note 2 2 10" xfId="2238" xr:uid="{00000000-0005-0000-0000-00008D210000}"/>
    <cellStyle name="Note 2 2 10 2" xfId="3695" xr:uid="{00000000-0005-0000-0000-00008E210000}"/>
    <cellStyle name="Note 2 2 10 2 2" xfId="7265" xr:uid="{00000000-0005-0000-0000-00008F210000}"/>
    <cellStyle name="Note 2 2 10 2 3" xfId="9230" xr:uid="{00000000-0005-0000-0000-000090210000}"/>
    <cellStyle name="Note 2 2 10 2 4" xfId="10522" xr:uid="{00000000-0005-0000-0000-000091210000}"/>
    <cellStyle name="Note 2 2 10 3" xfId="5826" xr:uid="{00000000-0005-0000-0000-000092210000}"/>
    <cellStyle name="Note 2 2 10 4" xfId="8011" xr:uid="{00000000-0005-0000-0000-000093210000}"/>
    <cellStyle name="Note 2 2 10 5" xfId="4532" xr:uid="{00000000-0005-0000-0000-000094210000}"/>
    <cellStyle name="Note 2 2 10 6" xfId="11604" xr:uid="{00000000-0005-0000-0000-000095210000}"/>
    <cellStyle name="Note 2 2 11" xfId="1383" xr:uid="{00000000-0005-0000-0000-000096210000}"/>
    <cellStyle name="Note 2 2 11 2" xfId="2879" xr:uid="{00000000-0005-0000-0000-000097210000}"/>
    <cellStyle name="Note 2 2 11 2 2" xfId="6458" xr:uid="{00000000-0005-0000-0000-000098210000}"/>
    <cellStyle name="Note 2 2 11 2 3" xfId="8459" xr:uid="{00000000-0005-0000-0000-000099210000}"/>
    <cellStyle name="Note 2 2 11 2 4" xfId="9784" xr:uid="{00000000-0005-0000-0000-00009A210000}"/>
    <cellStyle name="Note 2 2 11 3" xfId="4981" xr:uid="{00000000-0005-0000-0000-00009B210000}"/>
    <cellStyle name="Note 2 2 11 4" xfId="7589" xr:uid="{00000000-0005-0000-0000-00009C210000}"/>
    <cellStyle name="Note 2 2 11 5" xfId="4327" xr:uid="{00000000-0005-0000-0000-00009D210000}"/>
    <cellStyle name="Note 2 2 11 6" xfId="10866" xr:uid="{00000000-0005-0000-0000-00009E210000}"/>
    <cellStyle name="Note 2 2 12" xfId="2657" xr:uid="{00000000-0005-0000-0000-00009F210000}"/>
    <cellStyle name="Note 2 2 12 2" xfId="6242" xr:uid="{00000000-0005-0000-0000-0000A0210000}"/>
    <cellStyle name="Note 2 2 12 3" xfId="8258" xr:uid="{00000000-0005-0000-0000-0000A1210000}"/>
    <cellStyle name="Note 2 2 12 4" xfId="9599" xr:uid="{00000000-0005-0000-0000-0000A2210000}"/>
    <cellStyle name="Note 2 2 13" xfId="4727" xr:uid="{00000000-0005-0000-0000-0000A3210000}"/>
    <cellStyle name="Note 2 2 14" xfId="4220" xr:uid="{00000000-0005-0000-0000-0000A4210000}"/>
    <cellStyle name="Note 2 2 15" xfId="8120" xr:uid="{00000000-0005-0000-0000-0000A5210000}"/>
    <cellStyle name="Note 2 2 2" xfId="1681" xr:uid="{00000000-0005-0000-0000-0000A6210000}"/>
    <cellStyle name="Note 2 2 2 2" xfId="3159" xr:uid="{00000000-0005-0000-0000-0000A7210000}"/>
    <cellStyle name="Note 2 2 2 2 2" xfId="6733" xr:uid="{00000000-0005-0000-0000-0000A8210000}"/>
    <cellStyle name="Note 2 2 2 2 3" xfId="8714" xr:uid="{00000000-0005-0000-0000-0000A9210000}"/>
    <cellStyle name="Note 2 2 2 2 4" xfId="10019" xr:uid="{00000000-0005-0000-0000-0000AA210000}"/>
    <cellStyle name="Note 2 2 2 3" xfId="5273" xr:uid="{00000000-0005-0000-0000-0000AB210000}"/>
    <cellStyle name="Note 2 2 2 4" xfId="4368" xr:uid="{00000000-0005-0000-0000-0000AC210000}"/>
    <cellStyle name="Note 2 2 2 5" xfId="11096" xr:uid="{00000000-0005-0000-0000-0000AD210000}"/>
    <cellStyle name="Note 2 2 3" xfId="1851" xr:uid="{00000000-0005-0000-0000-0000AE210000}"/>
    <cellStyle name="Note 2 2 3 2" xfId="3323" xr:uid="{00000000-0005-0000-0000-0000AF210000}"/>
    <cellStyle name="Note 2 2 3 2 2" xfId="6893" xr:uid="{00000000-0005-0000-0000-0000B0210000}"/>
    <cellStyle name="Note 2 2 3 2 3" xfId="8861" xr:uid="{00000000-0005-0000-0000-0000B1210000}"/>
    <cellStyle name="Note 2 2 3 2 4" xfId="10152" xr:uid="{00000000-0005-0000-0000-0000B2210000}"/>
    <cellStyle name="Note 2 2 3 3" xfId="5440" xr:uid="{00000000-0005-0000-0000-0000B3210000}"/>
    <cellStyle name="Note 2 2 3 4" xfId="8355" xr:uid="{00000000-0005-0000-0000-0000B4210000}"/>
    <cellStyle name="Note 2 2 3 5" xfId="11230" xr:uid="{00000000-0005-0000-0000-0000B5210000}"/>
    <cellStyle name="Note 2 2 4" xfId="1750" xr:uid="{00000000-0005-0000-0000-0000B6210000}"/>
    <cellStyle name="Note 2 2 4 2" xfId="3227" xr:uid="{00000000-0005-0000-0000-0000B7210000}"/>
    <cellStyle name="Note 2 2 4 2 2" xfId="6800" xr:uid="{00000000-0005-0000-0000-0000B8210000}"/>
    <cellStyle name="Note 2 2 4 2 3" xfId="8778" xr:uid="{00000000-0005-0000-0000-0000B9210000}"/>
    <cellStyle name="Note 2 2 4 2 4" xfId="10080" xr:uid="{00000000-0005-0000-0000-0000BA210000}"/>
    <cellStyle name="Note 2 2 4 3" xfId="5342" xr:uid="{00000000-0005-0000-0000-0000BB210000}"/>
    <cellStyle name="Note 2 2 4 4" xfId="5262" xr:uid="{00000000-0005-0000-0000-0000BC210000}"/>
    <cellStyle name="Note 2 2 4 5" xfId="11157" xr:uid="{00000000-0005-0000-0000-0000BD210000}"/>
    <cellStyle name="Note 2 2 5" xfId="1274" xr:uid="{00000000-0005-0000-0000-0000BE210000}"/>
    <cellStyle name="Note 2 2 5 2" xfId="2775" xr:uid="{00000000-0005-0000-0000-0000BF210000}"/>
    <cellStyle name="Note 2 2 5 2 2" xfId="6354" xr:uid="{00000000-0005-0000-0000-0000C0210000}"/>
    <cellStyle name="Note 2 2 5 2 3" xfId="8362" xr:uid="{00000000-0005-0000-0000-0000C1210000}"/>
    <cellStyle name="Note 2 2 5 2 4" xfId="9687" xr:uid="{00000000-0005-0000-0000-0000C2210000}"/>
    <cellStyle name="Note 2 2 5 3" xfId="4872" xr:uid="{00000000-0005-0000-0000-0000C3210000}"/>
    <cellStyle name="Note 2 2 5 4" xfId="8047" xr:uid="{00000000-0005-0000-0000-0000C4210000}"/>
    <cellStyle name="Note 2 2 5 5" xfId="7840" xr:uid="{00000000-0005-0000-0000-0000C5210000}"/>
    <cellStyle name="Note 2 2 6" xfId="1474" xr:uid="{00000000-0005-0000-0000-0000C6210000}"/>
    <cellStyle name="Note 2 2 6 2" xfId="2959" xr:uid="{00000000-0005-0000-0000-0000C7210000}"/>
    <cellStyle name="Note 2 2 6 2 2" xfId="6536" xr:uid="{00000000-0005-0000-0000-0000C8210000}"/>
    <cellStyle name="Note 2 2 6 2 3" xfId="8537" xr:uid="{00000000-0005-0000-0000-0000C9210000}"/>
    <cellStyle name="Note 2 2 6 2 4" xfId="9860" xr:uid="{00000000-0005-0000-0000-0000CA210000}"/>
    <cellStyle name="Note 2 2 6 3" xfId="5071" xr:uid="{00000000-0005-0000-0000-0000CB210000}"/>
    <cellStyle name="Note 2 2 6 4" xfId="8562" xr:uid="{00000000-0005-0000-0000-0000CC210000}"/>
    <cellStyle name="Note 2 2 6 5" xfId="10941" xr:uid="{00000000-0005-0000-0000-0000CD210000}"/>
    <cellStyle name="Note 2 2 7" xfId="1342" xr:uid="{00000000-0005-0000-0000-0000CE210000}"/>
    <cellStyle name="Note 2 2 7 2" xfId="2840" xr:uid="{00000000-0005-0000-0000-0000CF210000}"/>
    <cellStyle name="Note 2 2 7 2 2" xfId="6419" xr:uid="{00000000-0005-0000-0000-0000D0210000}"/>
    <cellStyle name="Note 2 2 7 2 3" xfId="8420" xr:uid="{00000000-0005-0000-0000-0000D1210000}"/>
    <cellStyle name="Note 2 2 7 2 4" xfId="9745" xr:uid="{00000000-0005-0000-0000-0000D2210000}"/>
    <cellStyle name="Note 2 2 7 3" xfId="4940" xr:uid="{00000000-0005-0000-0000-0000D3210000}"/>
    <cellStyle name="Note 2 2 7 4" xfId="7955" xr:uid="{00000000-0005-0000-0000-0000D4210000}"/>
    <cellStyle name="Note 2 2 7 5" xfId="4240" xr:uid="{00000000-0005-0000-0000-0000D5210000}"/>
    <cellStyle name="Note 2 2 8" xfId="2244" xr:uid="{00000000-0005-0000-0000-0000D6210000}"/>
    <cellStyle name="Note 2 2 8 2" xfId="3701" xr:uid="{00000000-0005-0000-0000-0000D7210000}"/>
    <cellStyle name="Note 2 2 8 2 2" xfId="7271" xr:uid="{00000000-0005-0000-0000-0000D8210000}"/>
    <cellStyle name="Note 2 2 8 2 3" xfId="9236" xr:uid="{00000000-0005-0000-0000-0000D9210000}"/>
    <cellStyle name="Note 2 2 8 2 4" xfId="10528" xr:uid="{00000000-0005-0000-0000-0000DA210000}"/>
    <cellStyle name="Note 2 2 8 3" xfId="5832" xr:uid="{00000000-0005-0000-0000-0000DB210000}"/>
    <cellStyle name="Note 2 2 8 4" xfId="4538" xr:uid="{00000000-0005-0000-0000-0000DC210000}"/>
    <cellStyle name="Note 2 2 8 5" xfId="11610" xr:uid="{00000000-0005-0000-0000-0000DD210000}"/>
    <cellStyle name="Note 2 2 9" xfId="2336" xr:uid="{00000000-0005-0000-0000-0000DE210000}"/>
    <cellStyle name="Note 2 2 9 2" xfId="3792" xr:uid="{00000000-0005-0000-0000-0000DF210000}"/>
    <cellStyle name="Note 2 2 9 2 2" xfId="7362" xr:uid="{00000000-0005-0000-0000-0000E0210000}"/>
    <cellStyle name="Note 2 2 9 2 3" xfId="9325" xr:uid="{00000000-0005-0000-0000-0000E1210000}"/>
    <cellStyle name="Note 2 2 9 2 4" xfId="10619" xr:uid="{00000000-0005-0000-0000-0000E2210000}"/>
    <cellStyle name="Note 2 2 9 3" xfId="5924" xr:uid="{00000000-0005-0000-0000-0000E3210000}"/>
    <cellStyle name="Note 2 2 9 4" xfId="4686" xr:uid="{00000000-0005-0000-0000-0000E4210000}"/>
    <cellStyle name="Note 2 2 9 5" xfId="11701" xr:uid="{00000000-0005-0000-0000-0000E5210000}"/>
    <cellStyle name="Note 2 3" xfId="1288" xr:uid="{00000000-0005-0000-0000-0000E6210000}"/>
    <cellStyle name="Note 2 3 2" xfId="2788" xr:uid="{00000000-0005-0000-0000-0000E7210000}"/>
    <cellStyle name="Note 2 3 2 2" xfId="6367" xr:uid="{00000000-0005-0000-0000-0000E8210000}"/>
    <cellStyle name="Note 2 3 2 3" xfId="8374" xr:uid="{00000000-0005-0000-0000-0000E9210000}"/>
    <cellStyle name="Note 2 3 2 4" xfId="9699" xr:uid="{00000000-0005-0000-0000-0000EA210000}"/>
    <cellStyle name="Note 2 3 3" xfId="4886" xr:uid="{00000000-0005-0000-0000-0000EB210000}"/>
    <cellStyle name="Note 2 3 4" xfId="7992" xr:uid="{00000000-0005-0000-0000-0000EC210000}"/>
    <cellStyle name="Note 2 3 5" xfId="4249" xr:uid="{00000000-0005-0000-0000-0000ED210000}"/>
    <cellStyle name="Note 2 4" xfId="1635" xr:uid="{00000000-0005-0000-0000-0000EE210000}"/>
    <cellStyle name="Note 2 4 2" xfId="3116" xr:uid="{00000000-0005-0000-0000-0000EF210000}"/>
    <cellStyle name="Note 2 4 2 2" xfId="6692" xr:uid="{00000000-0005-0000-0000-0000F0210000}"/>
    <cellStyle name="Note 2 4 2 3" xfId="8679" xr:uid="{00000000-0005-0000-0000-0000F1210000}"/>
    <cellStyle name="Note 2 4 2 4" xfId="9992" xr:uid="{00000000-0005-0000-0000-0000F2210000}"/>
    <cellStyle name="Note 2 4 3" xfId="5229" xr:uid="{00000000-0005-0000-0000-0000F3210000}"/>
    <cellStyle name="Note 2 4 4" xfId="7746" xr:uid="{00000000-0005-0000-0000-0000F4210000}"/>
    <cellStyle name="Note 2 4 5" xfId="8098" xr:uid="{00000000-0005-0000-0000-0000F5210000}"/>
    <cellStyle name="Note 2 5" xfId="1668" xr:uid="{00000000-0005-0000-0000-0000F6210000}"/>
    <cellStyle name="Note 2 5 2" xfId="3146" xr:uid="{00000000-0005-0000-0000-0000F7210000}"/>
    <cellStyle name="Note 2 5 2 2" xfId="6722" xr:uid="{00000000-0005-0000-0000-0000F8210000}"/>
    <cellStyle name="Note 2 5 2 3" xfId="8705" xr:uid="{00000000-0005-0000-0000-0000F9210000}"/>
    <cellStyle name="Note 2 5 2 4" xfId="10013" xr:uid="{00000000-0005-0000-0000-0000FA210000}"/>
    <cellStyle name="Note 2 5 3" xfId="5261" xr:uid="{00000000-0005-0000-0000-0000FB210000}"/>
    <cellStyle name="Note 2 5 4" xfId="4040" xr:uid="{00000000-0005-0000-0000-0000FC210000}"/>
    <cellStyle name="Note 2 5 5" xfId="11090" xr:uid="{00000000-0005-0000-0000-0000FD210000}"/>
    <cellStyle name="Note 2 6" xfId="1347" xr:uid="{00000000-0005-0000-0000-0000FE210000}"/>
    <cellStyle name="Note 2 6 2" xfId="2844" xr:uid="{00000000-0005-0000-0000-0000FF210000}"/>
    <cellStyle name="Note 2 6 2 2" xfId="6423" xr:uid="{00000000-0005-0000-0000-000000220000}"/>
    <cellStyle name="Note 2 6 2 3" xfId="8424" xr:uid="{00000000-0005-0000-0000-000001220000}"/>
    <cellStyle name="Note 2 6 2 4" xfId="9749" xr:uid="{00000000-0005-0000-0000-000002220000}"/>
    <cellStyle name="Note 2 6 3" xfId="4945" xr:uid="{00000000-0005-0000-0000-000003220000}"/>
    <cellStyle name="Note 2 6 4" xfId="8108" xr:uid="{00000000-0005-0000-0000-000004220000}"/>
    <cellStyle name="Note 2 6 5" xfId="10831" xr:uid="{00000000-0005-0000-0000-000005220000}"/>
    <cellStyle name="Note 2 7" xfId="2548" xr:uid="{00000000-0005-0000-0000-000006220000}"/>
    <cellStyle name="Note 2 7 2" xfId="6136" xr:uid="{00000000-0005-0000-0000-000007220000}"/>
    <cellStyle name="Note 2 7 3" xfId="8165" xr:uid="{00000000-0005-0000-0000-000008220000}"/>
    <cellStyle name="Note 2 7 4" xfId="6224" xr:uid="{00000000-0005-0000-0000-000009220000}"/>
    <cellStyle name="Note 2 8" xfId="188" xr:uid="{00000000-0005-0000-0000-00000A220000}"/>
    <cellStyle name="Note 2 9" xfId="4029" xr:uid="{00000000-0005-0000-0000-00000B220000}"/>
    <cellStyle name="Note 3" xfId="981" xr:uid="{00000000-0005-0000-0000-00000C220000}"/>
    <cellStyle name="Note 3 2" xfId="1225" xr:uid="{00000000-0005-0000-0000-00000D220000}"/>
    <cellStyle name="Note 3 2 10" xfId="2468" xr:uid="{00000000-0005-0000-0000-00000E220000}"/>
    <cellStyle name="Note 3 2 10 2" xfId="3923" xr:uid="{00000000-0005-0000-0000-00000F220000}"/>
    <cellStyle name="Note 3 2 10 2 2" xfId="7493" xr:uid="{00000000-0005-0000-0000-000010220000}"/>
    <cellStyle name="Note 3 2 10 2 3" xfId="9453" xr:uid="{00000000-0005-0000-0000-000011220000}"/>
    <cellStyle name="Note 3 2 10 2 4" xfId="10750" xr:uid="{00000000-0005-0000-0000-000012220000}"/>
    <cellStyle name="Note 3 2 10 3" xfId="6056" xr:uid="{00000000-0005-0000-0000-000013220000}"/>
    <cellStyle name="Note 3 2 10 4" xfId="8131" xr:uid="{00000000-0005-0000-0000-000014220000}"/>
    <cellStyle name="Note 3 2 10 5" xfId="6854" xr:uid="{00000000-0005-0000-0000-000015220000}"/>
    <cellStyle name="Note 3 2 10 6" xfId="11832" xr:uid="{00000000-0005-0000-0000-000016220000}"/>
    <cellStyle name="Note 3 2 11" xfId="2521" xr:uid="{00000000-0005-0000-0000-000017220000}"/>
    <cellStyle name="Note 3 2 11 2" xfId="3976" xr:uid="{00000000-0005-0000-0000-000018220000}"/>
    <cellStyle name="Note 3 2 11 2 2" xfId="7546" xr:uid="{00000000-0005-0000-0000-000019220000}"/>
    <cellStyle name="Note 3 2 11 2 3" xfId="9506" xr:uid="{00000000-0005-0000-0000-00001A220000}"/>
    <cellStyle name="Note 3 2 11 2 4" xfId="10803" xr:uid="{00000000-0005-0000-0000-00001B220000}"/>
    <cellStyle name="Note 3 2 11 3" xfId="6109" xr:uid="{00000000-0005-0000-0000-00001C220000}"/>
    <cellStyle name="Note 3 2 11 4" xfId="8156" xr:uid="{00000000-0005-0000-0000-00001D220000}"/>
    <cellStyle name="Note 3 2 11 5" xfId="4646" xr:uid="{00000000-0005-0000-0000-00001E220000}"/>
    <cellStyle name="Note 3 2 11 6" xfId="11885" xr:uid="{00000000-0005-0000-0000-00001F220000}"/>
    <cellStyle name="Note 3 2 12" xfId="2730" xr:uid="{00000000-0005-0000-0000-000020220000}"/>
    <cellStyle name="Note 3 2 12 2" xfId="6313" xr:uid="{00000000-0005-0000-0000-000021220000}"/>
    <cellStyle name="Note 3 2 12 3" xfId="8325" xr:uid="{00000000-0005-0000-0000-000022220000}"/>
    <cellStyle name="Note 3 2 12 4" xfId="9662" xr:uid="{00000000-0005-0000-0000-000023220000}"/>
    <cellStyle name="Note 3 2 13" xfId="4824" xr:uid="{00000000-0005-0000-0000-000024220000}"/>
    <cellStyle name="Note 3 2 14" xfId="4140" xr:uid="{00000000-0005-0000-0000-000025220000}"/>
    <cellStyle name="Note 3 2 15" xfId="4075" xr:uid="{00000000-0005-0000-0000-000026220000}"/>
    <cellStyle name="Note 3 2 2" xfId="1766" xr:uid="{00000000-0005-0000-0000-000027220000}"/>
    <cellStyle name="Note 3 2 2 2" xfId="3243" xr:uid="{00000000-0005-0000-0000-000028220000}"/>
    <cellStyle name="Note 3 2 2 2 2" xfId="6816" xr:uid="{00000000-0005-0000-0000-000029220000}"/>
    <cellStyle name="Note 3 2 2 2 3" xfId="8792" xr:uid="{00000000-0005-0000-0000-00002A220000}"/>
    <cellStyle name="Note 3 2 2 2 4" xfId="10093" xr:uid="{00000000-0005-0000-0000-00002B220000}"/>
    <cellStyle name="Note 3 2 2 3" xfId="5358" xr:uid="{00000000-0005-0000-0000-00002C220000}"/>
    <cellStyle name="Note 3 2 2 4" xfId="8188" xr:uid="{00000000-0005-0000-0000-00002D220000}"/>
    <cellStyle name="Note 3 2 2 5" xfId="11170" xr:uid="{00000000-0005-0000-0000-00002E220000}"/>
    <cellStyle name="Note 3 2 3" xfId="1932" xr:uid="{00000000-0005-0000-0000-00002F220000}"/>
    <cellStyle name="Note 3 2 3 2" xfId="3396" xr:uid="{00000000-0005-0000-0000-000030220000}"/>
    <cellStyle name="Note 3 2 3 2 2" xfId="6966" xr:uid="{00000000-0005-0000-0000-000031220000}"/>
    <cellStyle name="Note 3 2 3 2 3" xfId="8932" xr:uid="{00000000-0005-0000-0000-000032220000}"/>
    <cellStyle name="Note 3 2 3 2 4" xfId="10223" xr:uid="{00000000-0005-0000-0000-000033220000}"/>
    <cellStyle name="Note 3 2 3 3" xfId="5520" xr:uid="{00000000-0005-0000-0000-000034220000}"/>
    <cellStyle name="Note 3 2 3 4" xfId="7626" xr:uid="{00000000-0005-0000-0000-000035220000}"/>
    <cellStyle name="Note 3 2 3 5" xfId="11301" xr:uid="{00000000-0005-0000-0000-000036220000}"/>
    <cellStyle name="Note 3 2 4" xfId="2002" xr:uid="{00000000-0005-0000-0000-000037220000}"/>
    <cellStyle name="Note 3 2 4 2" xfId="3465" xr:uid="{00000000-0005-0000-0000-000038220000}"/>
    <cellStyle name="Note 3 2 4 2 2" xfId="7035" xr:uid="{00000000-0005-0000-0000-000039220000}"/>
    <cellStyle name="Note 3 2 4 2 3" xfId="9001" xr:uid="{00000000-0005-0000-0000-00003A220000}"/>
    <cellStyle name="Note 3 2 4 2 4" xfId="10292" xr:uid="{00000000-0005-0000-0000-00003B220000}"/>
    <cellStyle name="Note 3 2 4 3" xfId="5590" xr:uid="{00000000-0005-0000-0000-00003C220000}"/>
    <cellStyle name="Note 3 2 4 4" xfId="4084" xr:uid="{00000000-0005-0000-0000-00003D220000}"/>
    <cellStyle name="Note 3 2 4 5" xfId="11370" xr:uid="{00000000-0005-0000-0000-00003E220000}"/>
    <cellStyle name="Note 3 2 5" xfId="2070" xr:uid="{00000000-0005-0000-0000-00003F220000}"/>
    <cellStyle name="Note 3 2 5 2" xfId="3530" xr:uid="{00000000-0005-0000-0000-000040220000}"/>
    <cellStyle name="Note 3 2 5 2 2" xfId="7100" xr:uid="{00000000-0005-0000-0000-000041220000}"/>
    <cellStyle name="Note 3 2 5 2 3" xfId="9066" xr:uid="{00000000-0005-0000-0000-000042220000}"/>
    <cellStyle name="Note 3 2 5 2 4" xfId="10357" xr:uid="{00000000-0005-0000-0000-000043220000}"/>
    <cellStyle name="Note 3 2 5 3" xfId="5658" xr:uid="{00000000-0005-0000-0000-000044220000}"/>
    <cellStyle name="Note 3 2 5 4" xfId="7784" xr:uid="{00000000-0005-0000-0000-000045220000}"/>
    <cellStyle name="Note 3 2 5 5" xfId="11437" xr:uid="{00000000-0005-0000-0000-000046220000}"/>
    <cellStyle name="Note 3 2 6" xfId="2138" xr:uid="{00000000-0005-0000-0000-000047220000}"/>
    <cellStyle name="Note 3 2 6 2" xfId="3597" xr:uid="{00000000-0005-0000-0000-000048220000}"/>
    <cellStyle name="Note 3 2 6 2 2" xfId="7167" xr:uid="{00000000-0005-0000-0000-000049220000}"/>
    <cellStyle name="Note 3 2 6 2 3" xfId="9132" xr:uid="{00000000-0005-0000-0000-00004A220000}"/>
    <cellStyle name="Note 3 2 6 2 4" xfId="10424" xr:uid="{00000000-0005-0000-0000-00004B220000}"/>
    <cellStyle name="Note 3 2 6 3" xfId="5726" xr:uid="{00000000-0005-0000-0000-00004C220000}"/>
    <cellStyle name="Note 3 2 6 4" xfId="4675" xr:uid="{00000000-0005-0000-0000-00004D220000}"/>
    <cellStyle name="Note 3 2 6 5" xfId="11504" xr:uid="{00000000-0005-0000-0000-00004E220000}"/>
    <cellStyle name="Note 3 2 7" xfId="2210" xr:uid="{00000000-0005-0000-0000-00004F220000}"/>
    <cellStyle name="Note 3 2 7 2" xfId="3669" xr:uid="{00000000-0005-0000-0000-000050220000}"/>
    <cellStyle name="Note 3 2 7 2 2" xfId="7239" xr:uid="{00000000-0005-0000-0000-000051220000}"/>
    <cellStyle name="Note 3 2 7 2 3" xfId="9204" xr:uid="{00000000-0005-0000-0000-000052220000}"/>
    <cellStyle name="Note 3 2 7 2 4" xfId="10496" xr:uid="{00000000-0005-0000-0000-000053220000}"/>
    <cellStyle name="Note 3 2 7 3" xfId="5798" xr:uid="{00000000-0005-0000-0000-000054220000}"/>
    <cellStyle name="Note 3 2 7 4" xfId="4679" xr:uid="{00000000-0005-0000-0000-000055220000}"/>
    <cellStyle name="Note 3 2 7 5" xfId="11576" xr:uid="{00000000-0005-0000-0000-000056220000}"/>
    <cellStyle name="Note 3 2 8" xfId="2307" xr:uid="{00000000-0005-0000-0000-000057220000}"/>
    <cellStyle name="Note 3 2 8 2" xfId="3764" xr:uid="{00000000-0005-0000-0000-000058220000}"/>
    <cellStyle name="Note 3 2 8 2 2" xfId="7334" xr:uid="{00000000-0005-0000-0000-000059220000}"/>
    <cellStyle name="Note 3 2 8 2 3" xfId="9297" xr:uid="{00000000-0005-0000-0000-00005A220000}"/>
    <cellStyle name="Note 3 2 8 2 4" xfId="10591" xr:uid="{00000000-0005-0000-0000-00005B220000}"/>
    <cellStyle name="Note 3 2 8 3" xfId="5895" xr:uid="{00000000-0005-0000-0000-00005C220000}"/>
    <cellStyle name="Note 3 2 8 4" xfId="4862" xr:uid="{00000000-0005-0000-0000-00005D220000}"/>
    <cellStyle name="Note 3 2 8 5" xfId="11672" xr:uid="{00000000-0005-0000-0000-00005E220000}"/>
    <cellStyle name="Note 3 2 9" xfId="2399" xr:uid="{00000000-0005-0000-0000-00005F220000}"/>
    <cellStyle name="Note 3 2 9 2" xfId="3855" xr:uid="{00000000-0005-0000-0000-000060220000}"/>
    <cellStyle name="Note 3 2 9 2 2" xfId="7425" xr:uid="{00000000-0005-0000-0000-000061220000}"/>
    <cellStyle name="Note 3 2 9 2 3" xfId="9387" xr:uid="{00000000-0005-0000-0000-000062220000}"/>
    <cellStyle name="Note 3 2 9 2 4" xfId="10682" xr:uid="{00000000-0005-0000-0000-000063220000}"/>
    <cellStyle name="Note 3 2 9 3" xfId="5987" xr:uid="{00000000-0005-0000-0000-000064220000}"/>
    <cellStyle name="Note 3 2 9 4" xfId="5391" xr:uid="{00000000-0005-0000-0000-000065220000}"/>
    <cellStyle name="Note 3 2 9 5" xfId="11763" xr:uid="{00000000-0005-0000-0000-000066220000}"/>
    <cellStyle name="Note 3 3" xfId="1586" xr:uid="{00000000-0005-0000-0000-000067220000}"/>
    <cellStyle name="Note 3 3 2" xfId="3069" xr:uid="{00000000-0005-0000-0000-000068220000}"/>
    <cellStyle name="Note 3 3 2 2" xfId="6646" xr:uid="{00000000-0005-0000-0000-000069220000}"/>
    <cellStyle name="Note 3 3 2 3" xfId="8634" xr:uid="{00000000-0005-0000-0000-00006A220000}"/>
    <cellStyle name="Note 3 3 2 4" xfId="9950" xr:uid="{00000000-0005-0000-0000-00006B220000}"/>
    <cellStyle name="Note 3 3 3" xfId="5183" xr:uid="{00000000-0005-0000-0000-00006C220000}"/>
    <cellStyle name="Note 3 3 4" xfId="9414" xr:uid="{00000000-0005-0000-0000-00006D220000}"/>
    <cellStyle name="Note 3 3 5" xfId="11032" xr:uid="{00000000-0005-0000-0000-00006E220000}"/>
    <cellStyle name="Note 3 4" xfId="1369" xr:uid="{00000000-0005-0000-0000-00006F220000}"/>
    <cellStyle name="Note 3 4 2" xfId="2865" xr:uid="{00000000-0005-0000-0000-000070220000}"/>
    <cellStyle name="Note 3 4 2 2" xfId="6444" xr:uid="{00000000-0005-0000-0000-000071220000}"/>
    <cellStyle name="Note 3 4 2 3" xfId="8445" xr:uid="{00000000-0005-0000-0000-000072220000}"/>
    <cellStyle name="Note 3 4 2 4" xfId="9770" xr:uid="{00000000-0005-0000-0000-000073220000}"/>
    <cellStyle name="Note 3 4 3" xfId="4967" xr:uid="{00000000-0005-0000-0000-000074220000}"/>
    <cellStyle name="Note 3 4 4" xfId="8564" xr:uid="{00000000-0005-0000-0000-000075220000}"/>
    <cellStyle name="Note 3 4 5" xfId="10852" xr:uid="{00000000-0005-0000-0000-000076220000}"/>
    <cellStyle name="Note 3 5" xfId="2124" xr:uid="{00000000-0005-0000-0000-000077220000}"/>
    <cellStyle name="Note 3 5 2" xfId="3583" xr:uid="{00000000-0005-0000-0000-000078220000}"/>
    <cellStyle name="Note 3 5 2 2" xfId="7153" xr:uid="{00000000-0005-0000-0000-000079220000}"/>
    <cellStyle name="Note 3 5 2 3" xfId="9118" xr:uid="{00000000-0005-0000-0000-00007A220000}"/>
    <cellStyle name="Note 3 5 2 4" xfId="10410" xr:uid="{00000000-0005-0000-0000-00007B220000}"/>
    <cellStyle name="Note 3 5 3" xfId="5712" xr:uid="{00000000-0005-0000-0000-00007C220000}"/>
    <cellStyle name="Note 3 5 4" xfId="4459" xr:uid="{00000000-0005-0000-0000-00007D220000}"/>
    <cellStyle name="Note 3 5 5" xfId="11490" xr:uid="{00000000-0005-0000-0000-00007E220000}"/>
    <cellStyle name="Note 3 6" xfId="2611" xr:uid="{00000000-0005-0000-0000-00007F220000}"/>
    <cellStyle name="Note 3 6 2" xfId="6199" xr:uid="{00000000-0005-0000-0000-000080220000}"/>
    <cellStyle name="Note 3 6 3" xfId="8223" xr:uid="{00000000-0005-0000-0000-000081220000}"/>
    <cellStyle name="Note 3 6 4" xfId="9573" xr:uid="{00000000-0005-0000-0000-000082220000}"/>
    <cellStyle name="Note 3 7" xfId="4597" xr:uid="{00000000-0005-0000-0000-000083220000}"/>
    <cellStyle name="Note 3 8" xfId="4278" xr:uid="{00000000-0005-0000-0000-000084220000}"/>
    <cellStyle name="Note 3 9" xfId="6342" xr:uid="{00000000-0005-0000-0000-000085220000}"/>
    <cellStyle name="Note 4" xfId="982" xr:uid="{00000000-0005-0000-0000-000086220000}"/>
    <cellStyle name="Note 4 2" xfId="1226" xr:uid="{00000000-0005-0000-0000-000087220000}"/>
    <cellStyle name="Note 4 2 10" xfId="2469" xr:uid="{00000000-0005-0000-0000-000088220000}"/>
    <cellStyle name="Note 4 2 10 2" xfId="3924" xr:uid="{00000000-0005-0000-0000-000089220000}"/>
    <cellStyle name="Note 4 2 10 2 2" xfId="7494" xr:uid="{00000000-0005-0000-0000-00008A220000}"/>
    <cellStyle name="Note 4 2 10 2 3" xfId="9454" xr:uid="{00000000-0005-0000-0000-00008B220000}"/>
    <cellStyle name="Note 4 2 10 2 4" xfId="10751" xr:uid="{00000000-0005-0000-0000-00008C220000}"/>
    <cellStyle name="Note 4 2 10 3" xfId="6057" xr:uid="{00000000-0005-0000-0000-00008D220000}"/>
    <cellStyle name="Note 4 2 10 4" xfId="8132" xr:uid="{00000000-0005-0000-0000-00008E220000}"/>
    <cellStyle name="Note 4 2 10 5" xfId="6349" xr:uid="{00000000-0005-0000-0000-00008F220000}"/>
    <cellStyle name="Note 4 2 10 6" xfId="11833" xr:uid="{00000000-0005-0000-0000-000090220000}"/>
    <cellStyle name="Note 4 2 11" xfId="2522" xr:uid="{00000000-0005-0000-0000-000091220000}"/>
    <cellStyle name="Note 4 2 11 2" xfId="3977" xr:uid="{00000000-0005-0000-0000-000092220000}"/>
    <cellStyle name="Note 4 2 11 2 2" xfId="7547" xr:uid="{00000000-0005-0000-0000-000093220000}"/>
    <cellStyle name="Note 4 2 11 2 3" xfId="9507" xr:uid="{00000000-0005-0000-0000-000094220000}"/>
    <cellStyle name="Note 4 2 11 2 4" xfId="10804" xr:uid="{00000000-0005-0000-0000-000095220000}"/>
    <cellStyle name="Note 4 2 11 3" xfId="6110" xr:uid="{00000000-0005-0000-0000-000096220000}"/>
    <cellStyle name="Note 4 2 11 4" xfId="8157" xr:uid="{00000000-0005-0000-0000-000097220000}"/>
    <cellStyle name="Note 4 2 11 5" xfId="4647" xr:uid="{00000000-0005-0000-0000-000098220000}"/>
    <cellStyle name="Note 4 2 11 6" xfId="11886" xr:uid="{00000000-0005-0000-0000-000099220000}"/>
    <cellStyle name="Note 4 2 12" xfId="2731" xr:uid="{00000000-0005-0000-0000-00009A220000}"/>
    <cellStyle name="Note 4 2 12 2" xfId="6314" xr:uid="{00000000-0005-0000-0000-00009B220000}"/>
    <cellStyle name="Note 4 2 12 3" xfId="8326" xr:uid="{00000000-0005-0000-0000-00009C220000}"/>
    <cellStyle name="Note 4 2 12 4" xfId="9663" xr:uid="{00000000-0005-0000-0000-00009D220000}"/>
    <cellStyle name="Note 4 2 13" xfId="4825" xr:uid="{00000000-0005-0000-0000-00009E220000}"/>
    <cellStyle name="Note 4 2 14" xfId="4139" xr:uid="{00000000-0005-0000-0000-00009F220000}"/>
    <cellStyle name="Note 4 2 15" xfId="7716" xr:uid="{00000000-0005-0000-0000-0000A0220000}"/>
    <cellStyle name="Note 4 2 2" xfId="1767" xr:uid="{00000000-0005-0000-0000-0000A1220000}"/>
    <cellStyle name="Note 4 2 2 2" xfId="3244" xr:uid="{00000000-0005-0000-0000-0000A2220000}"/>
    <cellStyle name="Note 4 2 2 2 2" xfId="6817" xr:uid="{00000000-0005-0000-0000-0000A3220000}"/>
    <cellStyle name="Note 4 2 2 2 3" xfId="8793" xr:uid="{00000000-0005-0000-0000-0000A4220000}"/>
    <cellStyle name="Note 4 2 2 2 4" xfId="10094" xr:uid="{00000000-0005-0000-0000-0000A5220000}"/>
    <cellStyle name="Note 4 2 2 3" xfId="5359" xr:uid="{00000000-0005-0000-0000-0000A6220000}"/>
    <cellStyle name="Note 4 2 2 4" xfId="8515" xr:uid="{00000000-0005-0000-0000-0000A7220000}"/>
    <cellStyle name="Note 4 2 2 5" xfId="11171" xr:uid="{00000000-0005-0000-0000-0000A8220000}"/>
    <cellStyle name="Note 4 2 3" xfId="1933" xr:uid="{00000000-0005-0000-0000-0000A9220000}"/>
    <cellStyle name="Note 4 2 3 2" xfId="3397" xr:uid="{00000000-0005-0000-0000-0000AA220000}"/>
    <cellStyle name="Note 4 2 3 2 2" xfId="6967" xr:uid="{00000000-0005-0000-0000-0000AB220000}"/>
    <cellStyle name="Note 4 2 3 2 3" xfId="8933" xr:uid="{00000000-0005-0000-0000-0000AC220000}"/>
    <cellStyle name="Note 4 2 3 2 4" xfId="10224" xr:uid="{00000000-0005-0000-0000-0000AD220000}"/>
    <cellStyle name="Note 4 2 3 3" xfId="5521" xr:uid="{00000000-0005-0000-0000-0000AE220000}"/>
    <cellStyle name="Note 4 2 3 4" xfId="8072" xr:uid="{00000000-0005-0000-0000-0000AF220000}"/>
    <cellStyle name="Note 4 2 3 5" xfId="11302" xr:uid="{00000000-0005-0000-0000-0000B0220000}"/>
    <cellStyle name="Note 4 2 4" xfId="2003" xr:uid="{00000000-0005-0000-0000-0000B1220000}"/>
    <cellStyle name="Note 4 2 4 2" xfId="3466" xr:uid="{00000000-0005-0000-0000-0000B2220000}"/>
    <cellStyle name="Note 4 2 4 2 2" xfId="7036" xr:uid="{00000000-0005-0000-0000-0000B3220000}"/>
    <cellStyle name="Note 4 2 4 2 3" xfId="9002" xr:uid="{00000000-0005-0000-0000-0000B4220000}"/>
    <cellStyle name="Note 4 2 4 2 4" xfId="10293" xr:uid="{00000000-0005-0000-0000-0000B5220000}"/>
    <cellStyle name="Note 4 2 4 3" xfId="5591" xr:uid="{00000000-0005-0000-0000-0000B6220000}"/>
    <cellStyle name="Note 4 2 4 4" xfId="4099" xr:uid="{00000000-0005-0000-0000-0000B7220000}"/>
    <cellStyle name="Note 4 2 4 5" xfId="11371" xr:uid="{00000000-0005-0000-0000-0000B8220000}"/>
    <cellStyle name="Note 4 2 5" xfId="2071" xr:uid="{00000000-0005-0000-0000-0000B9220000}"/>
    <cellStyle name="Note 4 2 5 2" xfId="3531" xr:uid="{00000000-0005-0000-0000-0000BA220000}"/>
    <cellStyle name="Note 4 2 5 2 2" xfId="7101" xr:uid="{00000000-0005-0000-0000-0000BB220000}"/>
    <cellStyle name="Note 4 2 5 2 3" xfId="9067" xr:uid="{00000000-0005-0000-0000-0000BC220000}"/>
    <cellStyle name="Note 4 2 5 2 4" xfId="10358" xr:uid="{00000000-0005-0000-0000-0000BD220000}"/>
    <cellStyle name="Note 4 2 5 3" xfId="5659" xr:uid="{00000000-0005-0000-0000-0000BE220000}"/>
    <cellStyle name="Note 4 2 5 4" xfId="8000" xr:uid="{00000000-0005-0000-0000-0000BF220000}"/>
    <cellStyle name="Note 4 2 5 5" xfId="11438" xr:uid="{00000000-0005-0000-0000-0000C0220000}"/>
    <cellStyle name="Note 4 2 6" xfId="2139" xr:uid="{00000000-0005-0000-0000-0000C1220000}"/>
    <cellStyle name="Note 4 2 6 2" xfId="3598" xr:uid="{00000000-0005-0000-0000-0000C2220000}"/>
    <cellStyle name="Note 4 2 6 2 2" xfId="7168" xr:uid="{00000000-0005-0000-0000-0000C3220000}"/>
    <cellStyle name="Note 4 2 6 2 3" xfId="9133" xr:uid="{00000000-0005-0000-0000-0000C4220000}"/>
    <cellStyle name="Note 4 2 6 2 4" xfId="10425" xr:uid="{00000000-0005-0000-0000-0000C5220000}"/>
    <cellStyle name="Note 4 2 6 3" xfId="5727" xr:uid="{00000000-0005-0000-0000-0000C6220000}"/>
    <cellStyle name="Note 4 2 6 4" xfId="4470" xr:uid="{00000000-0005-0000-0000-0000C7220000}"/>
    <cellStyle name="Note 4 2 6 5" xfId="11505" xr:uid="{00000000-0005-0000-0000-0000C8220000}"/>
    <cellStyle name="Note 4 2 7" xfId="2211" xr:uid="{00000000-0005-0000-0000-0000C9220000}"/>
    <cellStyle name="Note 4 2 7 2" xfId="3670" xr:uid="{00000000-0005-0000-0000-0000CA220000}"/>
    <cellStyle name="Note 4 2 7 2 2" xfId="7240" xr:uid="{00000000-0005-0000-0000-0000CB220000}"/>
    <cellStyle name="Note 4 2 7 2 3" xfId="9205" xr:uid="{00000000-0005-0000-0000-0000CC220000}"/>
    <cellStyle name="Note 4 2 7 2 4" xfId="10497" xr:uid="{00000000-0005-0000-0000-0000CD220000}"/>
    <cellStyle name="Note 4 2 7 3" xfId="5799" xr:uid="{00000000-0005-0000-0000-0000CE220000}"/>
    <cellStyle name="Note 4 2 7 4" xfId="4516" xr:uid="{00000000-0005-0000-0000-0000CF220000}"/>
    <cellStyle name="Note 4 2 7 5" xfId="11577" xr:uid="{00000000-0005-0000-0000-0000D0220000}"/>
    <cellStyle name="Note 4 2 8" xfId="2308" xr:uid="{00000000-0005-0000-0000-0000D1220000}"/>
    <cellStyle name="Note 4 2 8 2" xfId="3765" xr:uid="{00000000-0005-0000-0000-0000D2220000}"/>
    <cellStyle name="Note 4 2 8 2 2" xfId="7335" xr:uid="{00000000-0005-0000-0000-0000D3220000}"/>
    <cellStyle name="Note 4 2 8 2 3" xfId="9298" xr:uid="{00000000-0005-0000-0000-0000D4220000}"/>
    <cellStyle name="Note 4 2 8 2 4" xfId="10592" xr:uid="{00000000-0005-0000-0000-0000D5220000}"/>
    <cellStyle name="Note 4 2 8 3" xfId="5896" xr:uid="{00000000-0005-0000-0000-0000D6220000}"/>
    <cellStyle name="Note 4 2 8 4" xfId="5392" xr:uid="{00000000-0005-0000-0000-0000D7220000}"/>
    <cellStyle name="Note 4 2 8 5" xfId="11673" xr:uid="{00000000-0005-0000-0000-0000D8220000}"/>
    <cellStyle name="Note 4 2 9" xfId="2400" xr:uid="{00000000-0005-0000-0000-0000D9220000}"/>
    <cellStyle name="Note 4 2 9 2" xfId="3856" xr:uid="{00000000-0005-0000-0000-0000DA220000}"/>
    <cellStyle name="Note 4 2 9 2 2" xfId="7426" xr:uid="{00000000-0005-0000-0000-0000DB220000}"/>
    <cellStyle name="Note 4 2 9 2 3" xfId="9388" xr:uid="{00000000-0005-0000-0000-0000DC220000}"/>
    <cellStyle name="Note 4 2 9 2 4" xfId="10683" xr:uid="{00000000-0005-0000-0000-0000DD220000}"/>
    <cellStyle name="Note 4 2 9 3" xfId="5988" xr:uid="{00000000-0005-0000-0000-0000DE220000}"/>
    <cellStyle name="Note 4 2 9 4" xfId="6849" xr:uid="{00000000-0005-0000-0000-0000DF220000}"/>
    <cellStyle name="Note 4 2 9 5" xfId="11764" xr:uid="{00000000-0005-0000-0000-0000E0220000}"/>
    <cellStyle name="Note 4 3" xfId="1587" xr:uid="{00000000-0005-0000-0000-0000E1220000}"/>
    <cellStyle name="Note 4 3 2" xfId="3070" xr:uid="{00000000-0005-0000-0000-0000E2220000}"/>
    <cellStyle name="Note 4 3 2 2" xfId="6647" xr:uid="{00000000-0005-0000-0000-0000E3220000}"/>
    <cellStyle name="Note 4 3 2 3" xfId="8635" xr:uid="{00000000-0005-0000-0000-0000E4220000}"/>
    <cellStyle name="Note 4 3 2 4" xfId="9951" xr:uid="{00000000-0005-0000-0000-0000E5220000}"/>
    <cellStyle name="Note 4 3 3" xfId="5184" xr:uid="{00000000-0005-0000-0000-0000E6220000}"/>
    <cellStyle name="Note 4 3 4" xfId="8101" xr:uid="{00000000-0005-0000-0000-0000E7220000}"/>
    <cellStyle name="Note 4 3 5" xfId="11033" xr:uid="{00000000-0005-0000-0000-0000E8220000}"/>
    <cellStyle name="Note 4 4" xfId="1368" xr:uid="{00000000-0005-0000-0000-0000E9220000}"/>
    <cellStyle name="Note 4 4 2" xfId="2864" xr:uid="{00000000-0005-0000-0000-0000EA220000}"/>
    <cellStyle name="Note 4 4 2 2" xfId="6443" xr:uid="{00000000-0005-0000-0000-0000EB220000}"/>
    <cellStyle name="Note 4 4 2 3" xfId="8444" xr:uid="{00000000-0005-0000-0000-0000EC220000}"/>
    <cellStyle name="Note 4 4 2 4" xfId="9769" xr:uid="{00000000-0005-0000-0000-0000ED220000}"/>
    <cellStyle name="Note 4 4 3" xfId="4966" xr:uid="{00000000-0005-0000-0000-0000EE220000}"/>
    <cellStyle name="Note 4 4 4" xfId="4097" xr:uid="{00000000-0005-0000-0000-0000EF220000}"/>
    <cellStyle name="Note 4 4 5" xfId="10851" xr:uid="{00000000-0005-0000-0000-0000F0220000}"/>
    <cellStyle name="Note 4 5" xfId="1509" xr:uid="{00000000-0005-0000-0000-0000F1220000}"/>
    <cellStyle name="Note 4 5 2" xfId="2993" xr:uid="{00000000-0005-0000-0000-0000F2220000}"/>
    <cellStyle name="Note 4 5 2 2" xfId="6570" xr:uid="{00000000-0005-0000-0000-0000F3220000}"/>
    <cellStyle name="Note 4 5 2 3" xfId="8571" xr:uid="{00000000-0005-0000-0000-0000F4220000}"/>
    <cellStyle name="Note 4 5 2 4" xfId="9894" xr:uid="{00000000-0005-0000-0000-0000F5220000}"/>
    <cellStyle name="Note 4 5 3" xfId="5106" xr:uid="{00000000-0005-0000-0000-0000F6220000}"/>
    <cellStyle name="Note 4 5 4" xfId="8287" xr:uid="{00000000-0005-0000-0000-0000F7220000}"/>
    <cellStyle name="Note 4 5 5" xfId="10976" xr:uid="{00000000-0005-0000-0000-0000F8220000}"/>
    <cellStyle name="Note 4 6" xfId="2612" xr:uid="{00000000-0005-0000-0000-0000F9220000}"/>
    <cellStyle name="Note 4 6 2" xfId="6200" xr:uid="{00000000-0005-0000-0000-0000FA220000}"/>
    <cellStyle name="Note 4 6 3" xfId="8224" xr:uid="{00000000-0005-0000-0000-0000FB220000}"/>
    <cellStyle name="Note 4 6 4" xfId="9574" xr:uid="{00000000-0005-0000-0000-0000FC220000}"/>
    <cellStyle name="Note 4 7" xfId="4598" xr:uid="{00000000-0005-0000-0000-0000FD220000}"/>
    <cellStyle name="Note 4 8" xfId="4277" xr:uid="{00000000-0005-0000-0000-0000FE220000}"/>
    <cellStyle name="Note 4 9" xfId="7929" xr:uid="{00000000-0005-0000-0000-0000FF220000}"/>
    <cellStyle name="Note 5" xfId="983" xr:uid="{00000000-0005-0000-0000-000000230000}"/>
    <cellStyle name="Note 5 2" xfId="1227" xr:uid="{00000000-0005-0000-0000-000001230000}"/>
    <cellStyle name="Note 5 2 10" xfId="2470" xr:uid="{00000000-0005-0000-0000-000002230000}"/>
    <cellStyle name="Note 5 2 10 2" xfId="3925" xr:uid="{00000000-0005-0000-0000-000003230000}"/>
    <cellStyle name="Note 5 2 10 2 2" xfId="7495" xr:uid="{00000000-0005-0000-0000-000004230000}"/>
    <cellStyle name="Note 5 2 10 2 3" xfId="9455" xr:uid="{00000000-0005-0000-0000-000005230000}"/>
    <cellStyle name="Note 5 2 10 2 4" xfId="10752" xr:uid="{00000000-0005-0000-0000-000006230000}"/>
    <cellStyle name="Note 5 2 10 3" xfId="6058" xr:uid="{00000000-0005-0000-0000-000007230000}"/>
    <cellStyle name="Note 5 2 10 4" xfId="8133" xr:uid="{00000000-0005-0000-0000-000008230000}"/>
    <cellStyle name="Note 5 2 10 5" xfId="5264" xr:uid="{00000000-0005-0000-0000-000009230000}"/>
    <cellStyle name="Note 5 2 10 6" xfId="11834" xr:uid="{00000000-0005-0000-0000-00000A230000}"/>
    <cellStyle name="Note 5 2 11" xfId="2523" xr:uid="{00000000-0005-0000-0000-00000B230000}"/>
    <cellStyle name="Note 5 2 11 2" xfId="3978" xr:uid="{00000000-0005-0000-0000-00000C230000}"/>
    <cellStyle name="Note 5 2 11 2 2" xfId="7548" xr:uid="{00000000-0005-0000-0000-00000D230000}"/>
    <cellStyle name="Note 5 2 11 2 3" xfId="9508" xr:uid="{00000000-0005-0000-0000-00000E230000}"/>
    <cellStyle name="Note 5 2 11 2 4" xfId="10805" xr:uid="{00000000-0005-0000-0000-00000F230000}"/>
    <cellStyle name="Note 5 2 11 3" xfId="6111" xr:uid="{00000000-0005-0000-0000-000010230000}"/>
    <cellStyle name="Note 5 2 11 4" xfId="8158" xr:uid="{00000000-0005-0000-0000-000011230000}"/>
    <cellStyle name="Note 5 2 11 5" xfId="4648" xr:uid="{00000000-0005-0000-0000-000012230000}"/>
    <cellStyle name="Note 5 2 11 6" xfId="11887" xr:uid="{00000000-0005-0000-0000-000013230000}"/>
    <cellStyle name="Note 5 2 12" xfId="2732" xr:uid="{00000000-0005-0000-0000-000014230000}"/>
    <cellStyle name="Note 5 2 12 2" xfId="6315" xr:uid="{00000000-0005-0000-0000-000015230000}"/>
    <cellStyle name="Note 5 2 12 3" xfId="8327" xr:uid="{00000000-0005-0000-0000-000016230000}"/>
    <cellStyle name="Note 5 2 12 4" xfId="9664" xr:uid="{00000000-0005-0000-0000-000017230000}"/>
    <cellStyle name="Note 5 2 13" xfId="4826" xr:uid="{00000000-0005-0000-0000-000018230000}"/>
    <cellStyle name="Note 5 2 14" xfId="4138" xr:uid="{00000000-0005-0000-0000-000019230000}"/>
    <cellStyle name="Note 5 2 15" xfId="7873" xr:uid="{00000000-0005-0000-0000-00001A230000}"/>
    <cellStyle name="Note 5 2 2" xfId="1768" xr:uid="{00000000-0005-0000-0000-00001B230000}"/>
    <cellStyle name="Note 5 2 2 2" xfId="3245" xr:uid="{00000000-0005-0000-0000-00001C230000}"/>
    <cellStyle name="Note 5 2 2 2 2" xfId="6818" xr:uid="{00000000-0005-0000-0000-00001D230000}"/>
    <cellStyle name="Note 5 2 2 2 3" xfId="8794" xr:uid="{00000000-0005-0000-0000-00001E230000}"/>
    <cellStyle name="Note 5 2 2 2 4" xfId="10095" xr:uid="{00000000-0005-0000-0000-00001F230000}"/>
    <cellStyle name="Note 5 2 2 3" xfId="5360" xr:uid="{00000000-0005-0000-0000-000020230000}"/>
    <cellStyle name="Note 5 2 2 4" xfId="7637" xr:uid="{00000000-0005-0000-0000-000021230000}"/>
    <cellStyle name="Note 5 2 2 5" xfId="11172" xr:uid="{00000000-0005-0000-0000-000022230000}"/>
    <cellStyle name="Note 5 2 3" xfId="1934" xr:uid="{00000000-0005-0000-0000-000023230000}"/>
    <cellStyle name="Note 5 2 3 2" xfId="3398" xr:uid="{00000000-0005-0000-0000-000024230000}"/>
    <cellStyle name="Note 5 2 3 2 2" xfId="6968" xr:uid="{00000000-0005-0000-0000-000025230000}"/>
    <cellStyle name="Note 5 2 3 2 3" xfId="8934" xr:uid="{00000000-0005-0000-0000-000026230000}"/>
    <cellStyle name="Note 5 2 3 2 4" xfId="10225" xr:uid="{00000000-0005-0000-0000-000027230000}"/>
    <cellStyle name="Note 5 2 3 3" xfId="5522" xr:uid="{00000000-0005-0000-0000-000028230000}"/>
    <cellStyle name="Note 5 2 3 4" xfId="8028" xr:uid="{00000000-0005-0000-0000-000029230000}"/>
    <cellStyle name="Note 5 2 3 5" xfId="11303" xr:uid="{00000000-0005-0000-0000-00002A230000}"/>
    <cellStyle name="Note 5 2 4" xfId="2004" xr:uid="{00000000-0005-0000-0000-00002B230000}"/>
    <cellStyle name="Note 5 2 4 2" xfId="3467" xr:uid="{00000000-0005-0000-0000-00002C230000}"/>
    <cellStyle name="Note 5 2 4 2 2" xfId="7037" xr:uid="{00000000-0005-0000-0000-00002D230000}"/>
    <cellStyle name="Note 5 2 4 2 3" xfId="9003" xr:uid="{00000000-0005-0000-0000-00002E230000}"/>
    <cellStyle name="Note 5 2 4 2 4" xfId="10294" xr:uid="{00000000-0005-0000-0000-00002F230000}"/>
    <cellStyle name="Note 5 2 4 3" xfId="5592" xr:uid="{00000000-0005-0000-0000-000030230000}"/>
    <cellStyle name="Note 5 2 4 4" xfId="7886" xr:uid="{00000000-0005-0000-0000-000031230000}"/>
    <cellStyle name="Note 5 2 4 5" xfId="11372" xr:uid="{00000000-0005-0000-0000-000032230000}"/>
    <cellStyle name="Note 5 2 5" xfId="2072" xr:uid="{00000000-0005-0000-0000-000033230000}"/>
    <cellStyle name="Note 5 2 5 2" xfId="3532" xr:uid="{00000000-0005-0000-0000-000034230000}"/>
    <cellStyle name="Note 5 2 5 2 2" xfId="7102" xr:uid="{00000000-0005-0000-0000-000035230000}"/>
    <cellStyle name="Note 5 2 5 2 3" xfId="9068" xr:uid="{00000000-0005-0000-0000-000036230000}"/>
    <cellStyle name="Note 5 2 5 2 4" xfId="10359" xr:uid="{00000000-0005-0000-0000-000037230000}"/>
    <cellStyle name="Note 5 2 5 3" xfId="5660" xr:uid="{00000000-0005-0000-0000-000038230000}"/>
    <cellStyle name="Note 5 2 5 4" xfId="7710" xr:uid="{00000000-0005-0000-0000-000039230000}"/>
    <cellStyle name="Note 5 2 5 5" xfId="11439" xr:uid="{00000000-0005-0000-0000-00003A230000}"/>
    <cellStyle name="Note 5 2 6" xfId="2140" xr:uid="{00000000-0005-0000-0000-00003B230000}"/>
    <cellStyle name="Note 5 2 6 2" xfId="3599" xr:uid="{00000000-0005-0000-0000-00003C230000}"/>
    <cellStyle name="Note 5 2 6 2 2" xfId="7169" xr:uid="{00000000-0005-0000-0000-00003D230000}"/>
    <cellStyle name="Note 5 2 6 2 3" xfId="9134" xr:uid="{00000000-0005-0000-0000-00003E230000}"/>
    <cellStyle name="Note 5 2 6 2 4" xfId="10426" xr:uid="{00000000-0005-0000-0000-00003F230000}"/>
    <cellStyle name="Note 5 2 6 3" xfId="5728" xr:uid="{00000000-0005-0000-0000-000040230000}"/>
    <cellStyle name="Note 5 2 6 4" xfId="4471" xr:uid="{00000000-0005-0000-0000-000041230000}"/>
    <cellStyle name="Note 5 2 6 5" xfId="11506" xr:uid="{00000000-0005-0000-0000-000042230000}"/>
    <cellStyle name="Note 5 2 7" xfId="2212" xr:uid="{00000000-0005-0000-0000-000043230000}"/>
    <cellStyle name="Note 5 2 7 2" xfId="3671" xr:uid="{00000000-0005-0000-0000-000044230000}"/>
    <cellStyle name="Note 5 2 7 2 2" xfId="7241" xr:uid="{00000000-0005-0000-0000-000045230000}"/>
    <cellStyle name="Note 5 2 7 2 3" xfId="9206" xr:uid="{00000000-0005-0000-0000-000046230000}"/>
    <cellStyle name="Note 5 2 7 2 4" xfId="10498" xr:uid="{00000000-0005-0000-0000-000047230000}"/>
    <cellStyle name="Note 5 2 7 3" xfId="5800" xr:uid="{00000000-0005-0000-0000-000048230000}"/>
    <cellStyle name="Note 5 2 7 4" xfId="5147" xr:uid="{00000000-0005-0000-0000-000049230000}"/>
    <cellStyle name="Note 5 2 7 5" xfId="11578" xr:uid="{00000000-0005-0000-0000-00004A230000}"/>
    <cellStyle name="Note 5 2 8" xfId="2309" xr:uid="{00000000-0005-0000-0000-00004B230000}"/>
    <cellStyle name="Note 5 2 8 2" xfId="3766" xr:uid="{00000000-0005-0000-0000-00004C230000}"/>
    <cellStyle name="Note 5 2 8 2 2" xfId="7336" xr:uid="{00000000-0005-0000-0000-00004D230000}"/>
    <cellStyle name="Note 5 2 8 2 3" xfId="9299" xr:uid="{00000000-0005-0000-0000-00004E230000}"/>
    <cellStyle name="Note 5 2 8 2 4" xfId="10593" xr:uid="{00000000-0005-0000-0000-00004F230000}"/>
    <cellStyle name="Note 5 2 8 3" xfId="5897" xr:uid="{00000000-0005-0000-0000-000050230000}"/>
    <cellStyle name="Note 5 2 8 4" xfId="6850" xr:uid="{00000000-0005-0000-0000-000051230000}"/>
    <cellStyle name="Note 5 2 8 5" xfId="11674" xr:uid="{00000000-0005-0000-0000-000052230000}"/>
    <cellStyle name="Note 5 2 9" xfId="2401" xr:uid="{00000000-0005-0000-0000-000053230000}"/>
    <cellStyle name="Note 5 2 9 2" xfId="3857" xr:uid="{00000000-0005-0000-0000-000054230000}"/>
    <cellStyle name="Note 5 2 9 2 2" xfId="7427" xr:uid="{00000000-0005-0000-0000-000055230000}"/>
    <cellStyle name="Note 5 2 9 2 3" xfId="9389" xr:uid="{00000000-0005-0000-0000-000056230000}"/>
    <cellStyle name="Note 5 2 9 2 4" xfId="10684" xr:uid="{00000000-0005-0000-0000-000057230000}"/>
    <cellStyle name="Note 5 2 9 3" xfId="5989" xr:uid="{00000000-0005-0000-0000-000058230000}"/>
    <cellStyle name="Note 5 2 9 4" xfId="6344" xr:uid="{00000000-0005-0000-0000-000059230000}"/>
    <cellStyle name="Note 5 2 9 5" xfId="11765" xr:uid="{00000000-0005-0000-0000-00005A230000}"/>
    <cellStyle name="Note 5 3" xfId="1588" xr:uid="{00000000-0005-0000-0000-00005B230000}"/>
    <cellStyle name="Note 5 3 2" xfId="3071" xr:uid="{00000000-0005-0000-0000-00005C230000}"/>
    <cellStyle name="Note 5 3 2 2" xfId="6648" xr:uid="{00000000-0005-0000-0000-00005D230000}"/>
    <cellStyle name="Note 5 3 2 3" xfId="8636" xr:uid="{00000000-0005-0000-0000-00005E230000}"/>
    <cellStyle name="Note 5 3 2 4" xfId="9952" xr:uid="{00000000-0005-0000-0000-00005F230000}"/>
    <cellStyle name="Note 5 3 3" xfId="5185" xr:uid="{00000000-0005-0000-0000-000060230000}"/>
    <cellStyle name="Note 5 3 4" xfId="8483" xr:uid="{00000000-0005-0000-0000-000061230000}"/>
    <cellStyle name="Note 5 3 5" xfId="11034" xr:uid="{00000000-0005-0000-0000-000062230000}"/>
    <cellStyle name="Note 5 4" xfId="1367" xr:uid="{00000000-0005-0000-0000-000063230000}"/>
    <cellStyle name="Note 5 4 2" xfId="2863" xr:uid="{00000000-0005-0000-0000-000064230000}"/>
    <cellStyle name="Note 5 4 2 2" xfId="6442" xr:uid="{00000000-0005-0000-0000-000065230000}"/>
    <cellStyle name="Note 5 4 2 3" xfId="8443" xr:uid="{00000000-0005-0000-0000-000066230000}"/>
    <cellStyle name="Note 5 4 2 4" xfId="9768" xr:uid="{00000000-0005-0000-0000-000067230000}"/>
    <cellStyle name="Note 5 4 3" xfId="4965" xr:uid="{00000000-0005-0000-0000-000068230000}"/>
    <cellStyle name="Note 5 4 4" xfId="8376" xr:uid="{00000000-0005-0000-0000-000069230000}"/>
    <cellStyle name="Note 5 4 5" xfId="10850" xr:uid="{00000000-0005-0000-0000-00006A230000}"/>
    <cellStyle name="Note 5 5" xfId="1461" xr:uid="{00000000-0005-0000-0000-00006B230000}"/>
    <cellStyle name="Note 5 5 2" xfId="2946" xr:uid="{00000000-0005-0000-0000-00006C230000}"/>
    <cellStyle name="Note 5 5 2 2" xfId="6523" xr:uid="{00000000-0005-0000-0000-00006D230000}"/>
    <cellStyle name="Note 5 5 2 3" xfId="8526" xr:uid="{00000000-0005-0000-0000-00006E230000}"/>
    <cellStyle name="Note 5 5 2 4" xfId="9847" xr:uid="{00000000-0005-0000-0000-00006F230000}"/>
    <cellStyle name="Note 5 5 3" xfId="5058" xr:uid="{00000000-0005-0000-0000-000070230000}"/>
    <cellStyle name="Note 5 5 4" xfId="9418" xr:uid="{00000000-0005-0000-0000-000071230000}"/>
    <cellStyle name="Note 5 5 5" xfId="10928" xr:uid="{00000000-0005-0000-0000-000072230000}"/>
    <cellStyle name="Note 5 6" xfId="2613" xr:uid="{00000000-0005-0000-0000-000073230000}"/>
    <cellStyle name="Note 5 6 2" xfId="6201" xr:uid="{00000000-0005-0000-0000-000074230000}"/>
    <cellStyle name="Note 5 6 3" xfId="8225" xr:uid="{00000000-0005-0000-0000-000075230000}"/>
    <cellStyle name="Note 5 6 4" xfId="9575" xr:uid="{00000000-0005-0000-0000-000076230000}"/>
    <cellStyle name="Note 5 7" xfId="4599" xr:uid="{00000000-0005-0000-0000-000077230000}"/>
    <cellStyle name="Note 5 8" xfId="4276" xr:uid="{00000000-0005-0000-0000-000078230000}"/>
    <cellStyle name="Note 5 9" xfId="8603" xr:uid="{00000000-0005-0000-0000-000079230000}"/>
    <cellStyle name="Note 6" xfId="984" xr:uid="{00000000-0005-0000-0000-00007A230000}"/>
    <cellStyle name="Note 6 2" xfId="1228" xr:uid="{00000000-0005-0000-0000-00007B230000}"/>
    <cellStyle name="Note 6 2 10" xfId="2471" xr:uid="{00000000-0005-0000-0000-00007C230000}"/>
    <cellStyle name="Note 6 2 10 2" xfId="3926" xr:uid="{00000000-0005-0000-0000-00007D230000}"/>
    <cellStyle name="Note 6 2 10 2 2" xfId="7496" xr:uid="{00000000-0005-0000-0000-00007E230000}"/>
    <cellStyle name="Note 6 2 10 2 3" xfId="9456" xr:uid="{00000000-0005-0000-0000-00007F230000}"/>
    <cellStyle name="Note 6 2 10 2 4" xfId="10753" xr:uid="{00000000-0005-0000-0000-000080230000}"/>
    <cellStyle name="Note 6 2 10 3" xfId="6059" xr:uid="{00000000-0005-0000-0000-000081230000}"/>
    <cellStyle name="Note 6 2 10 4" xfId="8134" xr:uid="{00000000-0005-0000-0000-000082230000}"/>
    <cellStyle name="Note 6 2 10 5" xfId="6724" xr:uid="{00000000-0005-0000-0000-000083230000}"/>
    <cellStyle name="Note 6 2 10 6" xfId="11835" xr:uid="{00000000-0005-0000-0000-000084230000}"/>
    <cellStyle name="Note 6 2 11" xfId="2524" xr:uid="{00000000-0005-0000-0000-000085230000}"/>
    <cellStyle name="Note 6 2 11 2" xfId="3979" xr:uid="{00000000-0005-0000-0000-000086230000}"/>
    <cellStyle name="Note 6 2 11 2 2" xfId="7549" xr:uid="{00000000-0005-0000-0000-000087230000}"/>
    <cellStyle name="Note 6 2 11 2 3" xfId="9509" xr:uid="{00000000-0005-0000-0000-000088230000}"/>
    <cellStyle name="Note 6 2 11 2 4" xfId="10806" xr:uid="{00000000-0005-0000-0000-000089230000}"/>
    <cellStyle name="Note 6 2 11 3" xfId="6112" xr:uid="{00000000-0005-0000-0000-00008A230000}"/>
    <cellStyle name="Note 6 2 11 4" xfId="8159" xr:uid="{00000000-0005-0000-0000-00008B230000}"/>
    <cellStyle name="Note 6 2 11 5" xfId="4848" xr:uid="{00000000-0005-0000-0000-00008C230000}"/>
    <cellStyle name="Note 6 2 11 6" xfId="11888" xr:uid="{00000000-0005-0000-0000-00008D230000}"/>
    <cellStyle name="Note 6 2 12" xfId="2733" xr:uid="{00000000-0005-0000-0000-00008E230000}"/>
    <cellStyle name="Note 6 2 12 2" xfId="6316" xr:uid="{00000000-0005-0000-0000-00008F230000}"/>
    <cellStyle name="Note 6 2 12 3" xfId="8328" xr:uid="{00000000-0005-0000-0000-000090230000}"/>
    <cellStyle name="Note 6 2 12 4" xfId="9665" xr:uid="{00000000-0005-0000-0000-000091230000}"/>
    <cellStyle name="Note 6 2 13" xfId="4827" xr:uid="{00000000-0005-0000-0000-000092230000}"/>
    <cellStyle name="Note 6 2 14" xfId="4137" xr:uid="{00000000-0005-0000-0000-000093230000}"/>
    <cellStyle name="Note 6 2 15" xfId="7777" xr:uid="{00000000-0005-0000-0000-000094230000}"/>
    <cellStyle name="Note 6 2 2" xfId="1769" xr:uid="{00000000-0005-0000-0000-000095230000}"/>
    <cellStyle name="Note 6 2 2 2" xfId="3246" xr:uid="{00000000-0005-0000-0000-000096230000}"/>
    <cellStyle name="Note 6 2 2 2 2" xfId="6819" xr:uid="{00000000-0005-0000-0000-000097230000}"/>
    <cellStyle name="Note 6 2 2 2 3" xfId="8795" xr:uid="{00000000-0005-0000-0000-000098230000}"/>
    <cellStyle name="Note 6 2 2 2 4" xfId="10096" xr:uid="{00000000-0005-0000-0000-000099230000}"/>
    <cellStyle name="Note 6 2 2 3" xfId="5361" xr:uid="{00000000-0005-0000-0000-00009A230000}"/>
    <cellStyle name="Note 6 2 2 4" xfId="8280" xr:uid="{00000000-0005-0000-0000-00009B230000}"/>
    <cellStyle name="Note 6 2 2 5" xfId="11173" xr:uid="{00000000-0005-0000-0000-00009C230000}"/>
    <cellStyle name="Note 6 2 3" xfId="1935" xr:uid="{00000000-0005-0000-0000-00009D230000}"/>
    <cellStyle name="Note 6 2 3 2" xfId="3399" xr:uid="{00000000-0005-0000-0000-00009E230000}"/>
    <cellStyle name="Note 6 2 3 2 2" xfId="6969" xr:uid="{00000000-0005-0000-0000-00009F230000}"/>
    <cellStyle name="Note 6 2 3 2 3" xfId="8935" xr:uid="{00000000-0005-0000-0000-0000A0230000}"/>
    <cellStyle name="Note 6 2 3 2 4" xfId="10226" xr:uid="{00000000-0005-0000-0000-0000A1230000}"/>
    <cellStyle name="Note 6 2 3 3" xfId="5523" xr:uid="{00000000-0005-0000-0000-0000A2230000}"/>
    <cellStyle name="Note 6 2 3 4" xfId="7735" xr:uid="{00000000-0005-0000-0000-0000A3230000}"/>
    <cellStyle name="Note 6 2 3 5" xfId="11304" xr:uid="{00000000-0005-0000-0000-0000A4230000}"/>
    <cellStyle name="Note 6 2 4" xfId="2005" xr:uid="{00000000-0005-0000-0000-0000A5230000}"/>
    <cellStyle name="Note 6 2 4 2" xfId="3468" xr:uid="{00000000-0005-0000-0000-0000A6230000}"/>
    <cellStyle name="Note 6 2 4 2 2" xfId="7038" xr:uid="{00000000-0005-0000-0000-0000A7230000}"/>
    <cellStyle name="Note 6 2 4 2 3" xfId="9004" xr:uid="{00000000-0005-0000-0000-0000A8230000}"/>
    <cellStyle name="Note 6 2 4 2 4" xfId="10295" xr:uid="{00000000-0005-0000-0000-0000A9230000}"/>
    <cellStyle name="Note 6 2 4 3" xfId="5593" xr:uid="{00000000-0005-0000-0000-0000AA230000}"/>
    <cellStyle name="Note 6 2 4 4" xfId="7789" xr:uid="{00000000-0005-0000-0000-0000AB230000}"/>
    <cellStyle name="Note 6 2 4 5" xfId="11373" xr:uid="{00000000-0005-0000-0000-0000AC230000}"/>
    <cellStyle name="Note 6 2 5" xfId="2073" xr:uid="{00000000-0005-0000-0000-0000AD230000}"/>
    <cellStyle name="Note 6 2 5 2" xfId="3533" xr:uid="{00000000-0005-0000-0000-0000AE230000}"/>
    <cellStyle name="Note 6 2 5 2 2" xfId="7103" xr:uid="{00000000-0005-0000-0000-0000AF230000}"/>
    <cellStyle name="Note 6 2 5 2 3" xfId="9069" xr:uid="{00000000-0005-0000-0000-0000B0230000}"/>
    <cellStyle name="Note 6 2 5 2 4" xfId="10360" xr:uid="{00000000-0005-0000-0000-0000B1230000}"/>
    <cellStyle name="Note 6 2 5 3" xfId="5661" xr:uid="{00000000-0005-0000-0000-0000B2230000}"/>
    <cellStyle name="Note 6 2 5 4" xfId="7928" xr:uid="{00000000-0005-0000-0000-0000B3230000}"/>
    <cellStyle name="Note 6 2 5 5" xfId="11440" xr:uid="{00000000-0005-0000-0000-0000B4230000}"/>
    <cellStyle name="Note 6 2 6" xfId="2141" xr:uid="{00000000-0005-0000-0000-0000B5230000}"/>
    <cellStyle name="Note 6 2 6 2" xfId="3600" xr:uid="{00000000-0005-0000-0000-0000B6230000}"/>
    <cellStyle name="Note 6 2 6 2 2" xfId="7170" xr:uid="{00000000-0005-0000-0000-0000B7230000}"/>
    <cellStyle name="Note 6 2 6 2 3" xfId="9135" xr:uid="{00000000-0005-0000-0000-0000B8230000}"/>
    <cellStyle name="Note 6 2 6 2 4" xfId="10427" xr:uid="{00000000-0005-0000-0000-0000B9230000}"/>
    <cellStyle name="Note 6 2 6 3" xfId="5729" xr:uid="{00000000-0005-0000-0000-0000BA230000}"/>
    <cellStyle name="Note 6 2 6 4" xfId="4472" xr:uid="{00000000-0005-0000-0000-0000BB230000}"/>
    <cellStyle name="Note 6 2 6 5" xfId="11507" xr:uid="{00000000-0005-0000-0000-0000BC230000}"/>
    <cellStyle name="Note 6 2 7" xfId="2213" xr:uid="{00000000-0005-0000-0000-0000BD230000}"/>
    <cellStyle name="Note 6 2 7 2" xfId="3672" xr:uid="{00000000-0005-0000-0000-0000BE230000}"/>
    <cellStyle name="Note 6 2 7 2 2" xfId="7242" xr:uid="{00000000-0005-0000-0000-0000BF230000}"/>
    <cellStyle name="Note 6 2 7 2 3" xfId="9207" xr:uid="{00000000-0005-0000-0000-0000C0230000}"/>
    <cellStyle name="Note 6 2 7 2 4" xfId="10499" xr:uid="{00000000-0005-0000-0000-0000C1230000}"/>
    <cellStyle name="Note 6 2 7 3" xfId="5801" xr:uid="{00000000-0005-0000-0000-0000C2230000}"/>
    <cellStyle name="Note 6 2 7 4" xfId="6611" xr:uid="{00000000-0005-0000-0000-0000C3230000}"/>
    <cellStyle name="Note 6 2 7 5" xfId="11579" xr:uid="{00000000-0005-0000-0000-0000C4230000}"/>
    <cellStyle name="Note 6 2 8" xfId="2310" xr:uid="{00000000-0005-0000-0000-0000C5230000}"/>
    <cellStyle name="Note 6 2 8 2" xfId="3767" xr:uid="{00000000-0005-0000-0000-0000C6230000}"/>
    <cellStyle name="Note 6 2 8 2 2" xfId="7337" xr:uid="{00000000-0005-0000-0000-0000C7230000}"/>
    <cellStyle name="Note 6 2 8 2 3" xfId="9300" xr:uid="{00000000-0005-0000-0000-0000C8230000}"/>
    <cellStyle name="Note 6 2 8 2 4" xfId="10594" xr:uid="{00000000-0005-0000-0000-0000C9230000}"/>
    <cellStyle name="Note 6 2 8 3" xfId="5898" xr:uid="{00000000-0005-0000-0000-0000CA230000}"/>
    <cellStyle name="Note 6 2 8 4" xfId="6345" xr:uid="{00000000-0005-0000-0000-0000CB230000}"/>
    <cellStyle name="Note 6 2 8 5" xfId="11675" xr:uid="{00000000-0005-0000-0000-0000CC230000}"/>
    <cellStyle name="Note 6 2 9" xfId="2402" xr:uid="{00000000-0005-0000-0000-0000CD230000}"/>
    <cellStyle name="Note 6 2 9 2" xfId="3858" xr:uid="{00000000-0005-0000-0000-0000CE230000}"/>
    <cellStyle name="Note 6 2 9 2 2" xfId="7428" xr:uid="{00000000-0005-0000-0000-0000CF230000}"/>
    <cellStyle name="Note 6 2 9 2 3" xfId="9390" xr:uid="{00000000-0005-0000-0000-0000D0230000}"/>
    <cellStyle name="Note 6 2 9 2 4" xfId="10685" xr:uid="{00000000-0005-0000-0000-0000D1230000}"/>
    <cellStyle name="Note 6 2 9 3" xfId="5990" xr:uid="{00000000-0005-0000-0000-0000D2230000}"/>
    <cellStyle name="Note 6 2 9 4" xfId="5257" xr:uid="{00000000-0005-0000-0000-0000D3230000}"/>
    <cellStyle name="Note 6 2 9 5" xfId="11766" xr:uid="{00000000-0005-0000-0000-0000D4230000}"/>
    <cellStyle name="Note 6 3" xfId="1589" xr:uid="{00000000-0005-0000-0000-0000D5230000}"/>
    <cellStyle name="Note 6 3 2" xfId="3072" xr:uid="{00000000-0005-0000-0000-0000D6230000}"/>
    <cellStyle name="Note 6 3 2 2" xfId="6649" xr:uid="{00000000-0005-0000-0000-0000D7230000}"/>
    <cellStyle name="Note 6 3 2 3" xfId="8637" xr:uid="{00000000-0005-0000-0000-0000D8230000}"/>
    <cellStyle name="Note 6 3 2 4" xfId="9953" xr:uid="{00000000-0005-0000-0000-0000D9230000}"/>
    <cellStyle name="Note 6 3 3" xfId="5186" xr:uid="{00000000-0005-0000-0000-0000DA230000}"/>
    <cellStyle name="Note 6 3 4" xfId="7611" xr:uid="{00000000-0005-0000-0000-0000DB230000}"/>
    <cellStyle name="Note 6 3 5" xfId="11035" xr:uid="{00000000-0005-0000-0000-0000DC230000}"/>
    <cellStyle name="Note 6 4" xfId="1637" xr:uid="{00000000-0005-0000-0000-0000DD230000}"/>
    <cellStyle name="Note 6 4 2" xfId="3118" xr:uid="{00000000-0005-0000-0000-0000DE230000}"/>
    <cellStyle name="Note 6 4 2 2" xfId="6694" xr:uid="{00000000-0005-0000-0000-0000DF230000}"/>
    <cellStyle name="Note 6 4 2 3" xfId="8681" xr:uid="{00000000-0005-0000-0000-0000E0230000}"/>
    <cellStyle name="Note 6 4 2 4" xfId="9994" xr:uid="{00000000-0005-0000-0000-0000E1230000}"/>
    <cellStyle name="Note 6 4 3" xfId="5231" xr:uid="{00000000-0005-0000-0000-0000E2230000}"/>
    <cellStyle name="Note 6 4 4" xfId="8099" xr:uid="{00000000-0005-0000-0000-0000E3230000}"/>
    <cellStyle name="Note 6 4 5" xfId="11073" xr:uid="{00000000-0005-0000-0000-0000E4230000}"/>
    <cellStyle name="Note 6 5" xfId="1713" xr:uid="{00000000-0005-0000-0000-0000E5230000}"/>
    <cellStyle name="Note 6 5 2" xfId="3190" xr:uid="{00000000-0005-0000-0000-0000E6230000}"/>
    <cellStyle name="Note 6 5 2 2" xfId="6763" xr:uid="{00000000-0005-0000-0000-0000E7230000}"/>
    <cellStyle name="Note 6 5 2 3" xfId="8741" xr:uid="{00000000-0005-0000-0000-0000E8230000}"/>
    <cellStyle name="Note 6 5 2 4" xfId="10043" xr:uid="{00000000-0005-0000-0000-0000E9230000}"/>
    <cellStyle name="Note 6 5 3" xfId="5305" xr:uid="{00000000-0005-0000-0000-0000EA230000}"/>
    <cellStyle name="Note 6 5 4" xfId="4388" xr:uid="{00000000-0005-0000-0000-0000EB230000}"/>
    <cellStyle name="Note 6 5 5" xfId="11120" xr:uid="{00000000-0005-0000-0000-0000EC230000}"/>
    <cellStyle name="Note 6 6" xfId="2614" xr:uid="{00000000-0005-0000-0000-0000ED230000}"/>
    <cellStyle name="Note 6 6 2" xfId="6202" xr:uid="{00000000-0005-0000-0000-0000EE230000}"/>
    <cellStyle name="Note 6 6 3" xfId="8226" xr:uid="{00000000-0005-0000-0000-0000EF230000}"/>
    <cellStyle name="Note 6 6 4" xfId="9576" xr:uid="{00000000-0005-0000-0000-0000F0230000}"/>
    <cellStyle name="Note 6 7" xfId="4600" xr:uid="{00000000-0005-0000-0000-0000F1230000}"/>
    <cellStyle name="Note 6 8" xfId="4275" xr:uid="{00000000-0005-0000-0000-0000F2230000}"/>
    <cellStyle name="Note 6 9" xfId="7706" xr:uid="{00000000-0005-0000-0000-0000F3230000}"/>
    <cellStyle name="Note 7" xfId="985" xr:uid="{00000000-0005-0000-0000-0000F4230000}"/>
    <cellStyle name="Note 7 2" xfId="1229" xr:uid="{00000000-0005-0000-0000-0000F5230000}"/>
    <cellStyle name="Note 7 2 10" xfId="2472" xr:uid="{00000000-0005-0000-0000-0000F6230000}"/>
    <cellStyle name="Note 7 2 10 2" xfId="3927" xr:uid="{00000000-0005-0000-0000-0000F7230000}"/>
    <cellStyle name="Note 7 2 10 2 2" xfId="7497" xr:uid="{00000000-0005-0000-0000-0000F8230000}"/>
    <cellStyle name="Note 7 2 10 2 3" xfId="9457" xr:uid="{00000000-0005-0000-0000-0000F9230000}"/>
    <cellStyle name="Note 7 2 10 2 4" xfId="10754" xr:uid="{00000000-0005-0000-0000-0000FA230000}"/>
    <cellStyle name="Note 7 2 10 3" xfId="6060" xr:uid="{00000000-0005-0000-0000-0000FB230000}"/>
    <cellStyle name="Note 7 2 10 4" xfId="8135" xr:uid="{00000000-0005-0000-0000-0000FC230000}"/>
    <cellStyle name="Note 7 2 10 5" xfId="6236" xr:uid="{00000000-0005-0000-0000-0000FD230000}"/>
    <cellStyle name="Note 7 2 10 6" xfId="11836" xr:uid="{00000000-0005-0000-0000-0000FE230000}"/>
    <cellStyle name="Note 7 2 11" xfId="2525" xr:uid="{00000000-0005-0000-0000-0000FF230000}"/>
    <cellStyle name="Note 7 2 11 2" xfId="3980" xr:uid="{00000000-0005-0000-0000-000000240000}"/>
    <cellStyle name="Note 7 2 11 2 2" xfId="7550" xr:uid="{00000000-0005-0000-0000-000001240000}"/>
    <cellStyle name="Note 7 2 11 2 3" xfId="9510" xr:uid="{00000000-0005-0000-0000-000002240000}"/>
    <cellStyle name="Note 7 2 11 2 4" xfId="10807" xr:uid="{00000000-0005-0000-0000-000003240000}"/>
    <cellStyle name="Note 7 2 11 3" xfId="6113" xr:uid="{00000000-0005-0000-0000-000004240000}"/>
    <cellStyle name="Note 7 2 11 4" xfId="8160" xr:uid="{00000000-0005-0000-0000-000005240000}"/>
    <cellStyle name="Note 7 2 11 5" xfId="5382" xr:uid="{00000000-0005-0000-0000-000006240000}"/>
    <cellStyle name="Note 7 2 11 6" xfId="11889" xr:uid="{00000000-0005-0000-0000-000007240000}"/>
    <cellStyle name="Note 7 2 12" xfId="2734" xr:uid="{00000000-0005-0000-0000-000008240000}"/>
    <cellStyle name="Note 7 2 12 2" xfId="6317" xr:uid="{00000000-0005-0000-0000-000009240000}"/>
    <cellStyle name="Note 7 2 12 3" xfId="8329" xr:uid="{00000000-0005-0000-0000-00000A240000}"/>
    <cellStyle name="Note 7 2 12 4" xfId="9666" xr:uid="{00000000-0005-0000-0000-00000B240000}"/>
    <cellStyle name="Note 7 2 13" xfId="4828" xr:uid="{00000000-0005-0000-0000-00000C240000}"/>
    <cellStyle name="Note 7 2 14" xfId="4136" xr:uid="{00000000-0005-0000-0000-00000D240000}"/>
    <cellStyle name="Note 7 2 15" xfId="7641" xr:uid="{00000000-0005-0000-0000-00000E240000}"/>
    <cellStyle name="Note 7 2 2" xfId="1770" xr:uid="{00000000-0005-0000-0000-00000F240000}"/>
    <cellStyle name="Note 7 2 2 2" xfId="3247" xr:uid="{00000000-0005-0000-0000-000010240000}"/>
    <cellStyle name="Note 7 2 2 2 2" xfId="6820" xr:uid="{00000000-0005-0000-0000-000011240000}"/>
    <cellStyle name="Note 7 2 2 2 3" xfId="8796" xr:uid="{00000000-0005-0000-0000-000012240000}"/>
    <cellStyle name="Note 7 2 2 2 4" xfId="10097" xr:uid="{00000000-0005-0000-0000-000013240000}"/>
    <cellStyle name="Note 7 2 2 3" xfId="5362" xr:uid="{00000000-0005-0000-0000-000014240000}"/>
    <cellStyle name="Note 7 2 2 4" xfId="8739" xr:uid="{00000000-0005-0000-0000-000015240000}"/>
    <cellStyle name="Note 7 2 2 5" xfId="11174" xr:uid="{00000000-0005-0000-0000-000016240000}"/>
    <cellStyle name="Note 7 2 3" xfId="1936" xr:uid="{00000000-0005-0000-0000-000017240000}"/>
    <cellStyle name="Note 7 2 3 2" xfId="3400" xr:uid="{00000000-0005-0000-0000-000018240000}"/>
    <cellStyle name="Note 7 2 3 2 2" xfId="6970" xr:uid="{00000000-0005-0000-0000-000019240000}"/>
    <cellStyle name="Note 7 2 3 2 3" xfId="8936" xr:uid="{00000000-0005-0000-0000-00001A240000}"/>
    <cellStyle name="Note 7 2 3 2 4" xfId="10227" xr:uid="{00000000-0005-0000-0000-00001B240000}"/>
    <cellStyle name="Note 7 2 3 3" xfId="5524" xr:uid="{00000000-0005-0000-0000-00001C240000}"/>
    <cellStyle name="Note 7 2 3 4" xfId="7668" xr:uid="{00000000-0005-0000-0000-00001D240000}"/>
    <cellStyle name="Note 7 2 3 5" xfId="11305" xr:uid="{00000000-0005-0000-0000-00001E240000}"/>
    <cellStyle name="Note 7 2 4" xfId="2006" xr:uid="{00000000-0005-0000-0000-00001F240000}"/>
    <cellStyle name="Note 7 2 4 2" xfId="3469" xr:uid="{00000000-0005-0000-0000-000020240000}"/>
    <cellStyle name="Note 7 2 4 2 2" xfId="7039" xr:uid="{00000000-0005-0000-0000-000021240000}"/>
    <cellStyle name="Note 7 2 4 2 3" xfId="9005" xr:uid="{00000000-0005-0000-0000-000022240000}"/>
    <cellStyle name="Note 7 2 4 2 4" xfId="10296" xr:uid="{00000000-0005-0000-0000-000023240000}"/>
    <cellStyle name="Note 7 2 4 3" xfId="5594" xr:uid="{00000000-0005-0000-0000-000024240000}"/>
    <cellStyle name="Note 7 2 4 4" xfId="4055" xr:uid="{00000000-0005-0000-0000-000025240000}"/>
    <cellStyle name="Note 7 2 4 5" xfId="11374" xr:uid="{00000000-0005-0000-0000-000026240000}"/>
    <cellStyle name="Note 7 2 5" xfId="2074" xr:uid="{00000000-0005-0000-0000-000027240000}"/>
    <cellStyle name="Note 7 2 5 2" xfId="3534" xr:uid="{00000000-0005-0000-0000-000028240000}"/>
    <cellStyle name="Note 7 2 5 2 2" xfId="7104" xr:uid="{00000000-0005-0000-0000-000029240000}"/>
    <cellStyle name="Note 7 2 5 2 3" xfId="9070" xr:uid="{00000000-0005-0000-0000-00002A240000}"/>
    <cellStyle name="Note 7 2 5 2 4" xfId="10361" xr:uid="{00000000-0005-0000-0000-00002B240000}"/>
    <cellStyle name="Note 7 2 5 3" xfId="5662" xr:uid="{00000000-0005-0000-0000-00002C240000}"/>
    <cellStyle name="Note 7 2 5 4" xfId="7672" xr:uid="{00000000-0005-0000-0000-00002D240000}"/>
    <cellStyle name="Note 7 2 5 5" xfId="11441" xr:uid="{00000000-0005-0000-0000-00002E240000}"/>
    <cellStyle name="Note 7 2 6" xfId="2142" xr:uid="{00000000-0005-0000-0000-00002F240000}"/>
    <cellStyle name="Note 7 2 6 2" xfId="3601" xr:uid="{00000000-0005-0000-0000-000030240000}"/>
    <cellStyle name="Note 7 2 6 2 2" xfId="7171" xr:uid="{00000000-0005-0000-0000-000031240000}"/>
    <cellStyle name="Note 7 2 6 2 3" xfId="9136" xr:uid="{00000000-0005-0000-0000-000032240000}"/>
    <cellStyle name="Note 7 2 6 2 4" xfId="10428" xr:uid="{00000000-0005-0000-0000-000033240000}"/>
    <cellStyle name="Note 7 2 6 3" xfId="5730" xr:uid="{00000000-0005-0000-0000-000034240000}"/>
    <cellStyle name="Note 7 2 6 4" xfId="4473" xr:uid="{00000000-0005-0000-0000-000035240000}"/>
    <cellStyle name="Note 7 2 6 5" xfId="11508" xr:uid="{00000000-0005-0000-0000-000036240000}"/>
    <cellStyle name="Note 7 2 7" xfId="2214" xr:uid="{00000000-0005-0000-0000-000037240000}"/>
    <cellStyle name="Note 7 2 7 2" xfId="3673" xr:uid="{00000000-0005-0000-0000-000038240000}"/>
    <cellStyle name="Note 7 2 7 2 2" xfId="7243" xr:uid="{00000000-0005-0000-0000-000039240000}"/>
    <cellStyle name="Note 7 2 7 2 3" xfId="9208" xr:uid="{00000000-0005-0000-0000-00003A240000}"/>
    <cellStyle name="Note 7 2 7 2 4" xfId="10500" xr:uid="{00000000-0005-0000-0000-00003B240000}"/>
    <cellStyle name="Note 7 2 7 3" xfId="5802" xr:uid="{00000000-0005-0000-0000-00003C240000}"/>
    <cellStyle name="Note 7 2 7 4" xfId="5429" xr:uid="{00000000-0005-0000-0000-00003D240000}"/>
    <cellStyle name="Note 7 2 7 5" xfId="11580" xr:uid="{00000000-0005-0000-0000-00003E240000}"/>
    <cellStyle name="Note 7 2 8" xfId="2311" xr:uid="{00000000-0005-0000-0000-00003F240000}"/>
    <cellStyle name="Note 7 2 8 2" xfId="3768" xr:uid="{00000000-0005-0000-0000-000040240000}"/>
    <cellStyle name="Note 7 2 8 2 2" xfId="7338" xr:uid="{00000000-0005-0000-0000-000041240000}"/>
    <cellStyle name="Note 7 2 8 2 3" xfId="9301" xr:uid="{00000000-0005-0000-0000-000042240000}"/>
    <cellStyle name="Note 7 2 8 2 4" xfId="10595" xr:uid="{00000000-0005-0000-0000-000043240000}"/>
    <cellStyle name="Note 7 2 8 3" xfId="5899" xr:uid="{00000000-0005-0000-0000-000044240000}"/>
    <cellStyle name="Note 7 2 8 4" xfId="5258" xr:uid="{00000000-0005-0000-0000-000045240000}"/>
    <cellStyle name="Note 7 2 8 5" xfId="11676" xr:uid="{00000000-0005-0000-0000-000046240000}"/>
    <cellStyle name="Note 7 2 9" xfId="2403" xr:uid="{00000000-0005-0000-0000-000047240000}"/>
    <cellStyle name="Note 7 2 9 2" xfId="3859" xr:uid="{00000000-0005-0000-0000-000048240000}"/>
    <cellStyle name="Note 7 2 9 2 2" xfId="7429" xr:uid="{00000000-0005-0000-0000-000049240000}"/>
    <cellStyle name="Note 7 2 9 2 3" xfId="9391" xr:uid="{00000000-0005-0000-0000-00004A240000}"/>
    <cellStyle name="Note 7 2 9 2 4" xfId="10686" xr:uid="{00000000-0005-0000-0000-00004B240000}"/>
    <cellStyle name="Note 7 2 9 3" xfId="5991" xr:uid="{00000000-0005-0000-0000-00004C240000}"/>
    <cellStyle name="Note 7 2 9 4" xfId="6718" xr:uid="{00000000-0005-0000-0000-00004D240000}"/>
    <cellStyle name="Note 7 2 9 5" xfId="11767" xr:uid="{00000000-0005-0000-0000-00004E240000}"/>
    <cellStyle name="Note 7 3" xfId="1590" xr:uid="{00000000-0005-0000-0000-00004F240000}"/>
    <cellStyle name="Note 7 3 2" xfId="3073" xr:uid="{00000000-0005-0000-0000-000050240000}"/>
    <cellStyle name="Note 7 3 2 2" xfId="6650" xr:uid="{00000000-0005-0000-0000-000051240000}"/>
    <cellStyle name="Note 7 3 2 3" xfId="8638" xr:uid="{00000000-0005-0000-0000-000052240000}"/>
    <cellStyle name="Note 7 3 2 4" xfId="9954" xr:uid="{00000000-0005-0000-0000-000053240000}"/>
    <cellStyle name="Note 7 3 3" xfId="5187" xr:uid="{00000000-0005-0000-0000-000054240000}"/>
    <cellStyle name="Note 7 3 4" xfId="4095" xr:uid="{00000000-0005-0000-0000-000055240000}"/>
    <cellStyle name="Note 7 3 5" xfId="11036" xr:uid="{00000000-0005-0000-0000-000056240000}"/>
    <cellStyle name="Note 7 4" xfId="1366" xr:uid="{00000000-0005-0000-0000-000057240000}"/>
    <cellStyle name="Note 7 4 2" xfId="2862" xr:uid="{00000000-0005-0000-0000-000058240000}"/>
    <cellStyle name="Note 7 4 2 2" xfId="6441" xr:uid="{00000000-0005-0000-0000-000059240000}"/>
    <cellStyle name="Note 7 4 2 3" xfId="8442" xr:uid="{00000000-0005-0000-0000-00005A240000}"/>
    <cellStyle name="Note 7 4 2 4" xfId="9767" xr:uid="{00000000-0005-0000-0000-00005B240000}"/>
    <cellStyle name="Note 7 4 3" xfId="4964" xr:uid="{00000000-0005-0000-0000-00005C240000}"/>
    <cellStyle name="Note 7 4 4" xfId="8040" xr:uid="{00000000-0005-0000-0000-00005D240000}"/>
    <cellStyle name="Note 7 4 5" xfId="10849" xr:uid="{00000000-0005-0000-0000-00005E240000}"/>
    <cellStyle name="Note 7 5" xfId="2125" xr:uid="{00000000-0005-0000-0000-00005F240000}"/>
    <cellStyle name="Note 7 5 2" xfId="3584" xr:uid="{00000000-0005-0000-0000-000060240000}"/>
    <cellStyle name="Note 7 5 2 2" xfId="7154" xr:uid="{00000000-0005-0000-0000-000061240000}"/>
    <cellStyle name="Note 7 5 2 3" xfId="9119" xr:uid="{00000000-0005-0000-0000-000062240000}"/>
    <cellStyle name="Note 7 5 2 4" xfId="10411" xr:uid="{00000000-0005-0000-0000-000063240000}"/>
    <cellStyle name="Note 7 5 3" xfId="5713" xr:uid="{00000000-0005-0000-0000-000064240000}"/>
    <cellStyle name="Note 7 5 4" xfId="4999" xr:uid="{00000000-0005-0000-0000-000065240000}"/>
    <cellStyle name="Note 7 5 5" xfId="11491" xr:uid="{00000000-0005-0000-0000-000066240000}"/>
    <cellStyle name="Note 7 6" xfId="2615" xr:uid="{00000000-0005-0000-0000-000067240000}"/>
    <cellStyle name="Note 7 6 2" xfId="6203" xr:uid="{00000000-0005-0000-0000-000068240000}"/>
    <cellStyle name="Note 7 6 3" xfId="8227" xr:uid="{00000000-0005-0000-0000-000069240000}"/>
    <cellStyle name="Note 7 6 4" xfId="9577" xr:uid="{00000000-0005-0000-0000-00006A240000}"/>
    <cellStyle name="Note 7 7" xfId="4601" xr:uid="{00000000-0005-0000-0000-00006B240000}"/>
    <cellStyle name="Note 7 8" xfId="4274" xr:uid="{00000000-0005-0000-0000-00006C240000}"/>
    <cellStyle name="Note 7 9" xfId="5255" xr:uid="{00000000-0005-0000-0000-00006D240000}"/>
    <cellStyle name="Note 8" xfId="986" xr:uid="{00000000-0005-0000-0000-00006E240000}"/>
    <cellStyle name="Note 8 2" xfId="1230" xr:uid="{00000000-0005-0000-0000-00006F240000}"/>
    <cellStyle name="Note 8 2 10" xfId="2473" xr:uid="{00000000-0005-0000-0000-000070240000}"/>
    <cellStyle name="Note 8 2 10 2" xfId="3928" xr:uid="{00000000-0005-0000-0000-000071240000}"/>
    <cellStyle name="Note 8 2 10 2 2" xfId="7498" xr:uid="{00000000-0005-0000-0000-000072240000}"/>
    <cellStyle name="Note 8 2 10 2 3" xfId="9458" xr:uid="{00000000-0005-0000-0000-000073240000}"/>
    <cellStyle name="Note 8 2 10 2 4" xfId="10755" xr:uid="{00000000-0005-0000-0000-000074240000}"/>
    <cellStyle name="Note 8 2 10 3" xfId="6061" xr:uid="{00000000-0005-0000-0000-000075240000}"/>
    <cellStyle name="Note 8 2 10 4" xfId="8136" xr:uid="{00000000-0005-0000-0000-000076240000}"/>
    <cellStyle name="Note 8 2 10 5" xfId="4735" xr:uid="{00000000-0005-0000-0000-000077240000}"/>
    <cellStyle name="Note 8 2 10 6" xfId="11837" xr:uid="{00000000-0005-0000-0000-000078240000}"/>
    <cellStyle name="Note 8 2 11" xfId="2526" xr:uid="{00000000-0005-0000-0000-000079240000}"/>
    <cellStyle name="Note 8 2 11 2" xfId="3981" xr:uid="{00000000-0005-0000-0000-00007A240000}"/>
    <cellStyle name="Note 8 2 11 2 2" xfId="7551" xr:uid="{00000000-0005-0000-0000-00007B240000}"/>
    <cellStyle name="Note 8 2 11 2 3" xfId="9511" xr:uid="{00000000-0005-0000-0000-00007C240000}"/>
    <cellStyle name="Note 8 2 11 2 4" xfId="10808" xr:uid="{00000000-0005-0000-0000-00007D240000}"/>
    <cellStyle name="Note 8 2 11 3" xfId="6114" xr:uid="{00000000-0005-0000-0000-00007E240000}"/>
    <cellStyle name="Note 8 2 11 4" xfId="8161" xr:uid="{00000000-0005-0000-0000-00007F240000}"/>
    <cellStyle name="Note 8 2 11 5" xfId="6840" xr:uid="{00000000-0005-0000-0000-000080240000}"/>
    <cellStyle name="Note 8 2 11 6" xfId="11890" xr:uid="{00000000-0005-0000-0000-000081240000}"/>
    <cellStyle name="Note 8 2 12" xfId="2735" xr:uid="{00000000-0005-0000-0000-000082240000}"/>
    <cellStyle name="Note 8 2 12 2" xfId="6318" xr:uid="{00000000-0005-0000-0000-000083240000}"/>
    <cellStyle name="Note 8 2 12 3" xfId="8330" xr:uid="{00000000-0005-0000-0000-000084240000}"/>
    <cellStyle name="Note 8 2 12 4" xfId="9667" xr:uid="{00000000-0005-0000-0000-000085240000}"/>
    <cellStyle name="Note 8 2 13" xfId="4829" xr:uid="{00000000-0005-0000-0000-000086240000}"/>
    <cellStyle name="Note 8 2 14" xfId="4135" xr:uid="{00000000-0005-0000-0000-000087240000}"/>
    <cellStyle name="Note 8 2 15" xfId="8057" xr:uid="{00000000-0005-0000-0000-000088240000}"/>
    <cellStyle name="Note 8 2 2" xfId="1771" xr:uid="{00000000-0005-0000-0000-000089240000}"/>
    <cellStyle name="Note 8 2 2 2" xfId="3248" xr:uid="{00000000-0005-0000-0000-00008A240000}"/>
    <cellStyle name="Note 8 2 2 2 2" xfId="6821" xr:uid="{00000000-0005-0000-0000-00008B240000}"/>
    <cellStyle name="Note 8 2 2 2 3" xfId="8797" xr:uid="{00000000-0005-0000-0000-00008C240000}"/>
    <cellStyle name="Note 8 2 2 2 4" xfId="10098" xr:uid="{00000000-0005-0000-0000-00008D240000}"/>
    <cellStyle name="Note 8 2 2 3" xfId="5363" xr:uid="{00000000-0005-0000-0000-00008E240000}"/>
    <cellStyle name="Note 8 2 2 4" xfId="7799" xr:uid="{00000000-0005-0000-0000-00008F240000}"/>
    <cellStyle name="Note 8 2 2 5" xfId="11175" xr:uid="{00000000-0005-0000-0000-000090240000}"/>
    <cellStyle name="Note 8 2 3" xfId="1937" xr:uid="{00000000-0005-0000-0000-000091240000}"/>
    <cellStyle name="Note 8 2 3 2" xfId="3401" xr:uid="{00000000-0005-0000-0000-000092240000}"/>
    <cellStyle name="Note 8 2 3 2 2" xfId="6971" xr:uid="{00000000-0005-0000-0000-000093240000}"/>
    <cellStyle name="Note 8 2 3 2 3" xfId="8937" xr:uid="{00000000-0005-0000-0000-000094240000}"/>
    <cellStyle name="Note 8 2 3 2 4" xfId="10228" xr:uid="{00000000-0005-0000-0000-000095240000}"/>
    <cellStyle name="Note 8 2 3 3" xfId="5525" xr:uid="{00000000-0005-0000-0000-000096240000}"/>
    <cellStyle name="Note 8 2 3 4" xfId="4087" xr:uid="{00000000-0005-0000-0000-000097240000}"/>
    <cellStyle name="Note 8 2 3 5" xfId="11306" xr:uid="{00000000-0005-0000-0000-000098240000}"/>
    <cellStyle name="Note 8 2 4" xfId="2007" xr:uid="{00000000-0005-0000-0000-000099240000}"/>
    <cellStyle name="Note 8 2 4 2" xfId="3470" xr:uid="{00000000-0005-0000-0000-00009A240000}"/>
    <cellStyle name="Note 8 2 4 2 2" xfId="7040" xr:uid="{00000000-0005-0000-0000-00009B240000}"/>
    <cellStyle name="Note 8 2 4 2 3" xfId="9006" xr:uid="{00000000-0005-0000-0000-00009C240000}"/>
    <cellStyle name="Note 8 2 4 2 4" xfId="10297" xr:uid="{00000000-0005-0000-0000-00009D240000}"/>
    <cellStyle name="Note 8 2 4 3" xfId="5595" xr:uid="{00000000-0005-0000-0000-00009E240000}"/>
    <cellStyle name="Note 8 2 4 4" xfId="7801" xr:uid="{00000000-0005-0000-0000-00009F240000}"/>
    <cellStyle name="Note 8 2 4 5" xfId="11375" xr:uid="{00000000-0005-0000-0000-0000A0240000}"/>
    <cellStyle name="Note 8 2 5" xfId="2075" xr:uid="{00000000-0005-0000-0000-0000A1240000}"/>
    <cellStyle name="Note 8 2 5 2" xfId="3535" xr:uid="{00000000-0005-0000-0000-0000A2240000}"/>
    <cellStyle name="Note 8 2 5 2 2" xfId="7105" xr:uid="{00000000-0005-0000-0000-0000A3240000}"/>
    <cellStyle name="Note 8 2 5 2 3" xfId="9071" xr:uid="{00000000-0005-0000-0000-0000A4240000}"/>
    <cellStyle name="Note 8 2 5 2 4" xfId="10362" xr:uid="{00000000-0005-0000-0000-0000A5240000}"/>
    <cellStyle name="Note 8 2 5 3" xfId="5663" xr:uid="{00000000-0005-0000-0000-0000A6240000}"/>
    <cellStyle name="Note 8 2 5 4" xfId="7616" xr:uid="{00000000-0005-0000-0000-0000A7240000}"/>
    <cellStyle name="Note 8 2 5 5" xfId="11442" xr:uid="{00000000-0005-0000-0000-0000A8240000}"/>
    <cellStyle name="Note 8 2 6" xfId="2143" xr:uid="{00000000-0005-0000-0000-0000A9240000}"/>
    <cellStyle name="Note 8 2 6 2" xfId="3602" xr:uid="{00000000-0005-0000-0000-0000AA240000}"/>
    <cellStyle name="Note 8 2 6 2 2" xfId="7172" xr:uid="{00000000-0005-0000-0000-0000AB240000}"/>
    <cellStyle name="Note 8 2 6 2 3" xfId="9137" xr:uid="{00000000-0005-0000-0000-0000AC240000}"/>
    <cellStyle name="Note 8 2 6 2 4" xfId="10429" xr:uid="{00000000-0005-0000-0000-0000AD240000}"/>
    <cellStyle name="Note 8 2 6 3" xfId="5731" xr:uid="{00000000-0005-0000-0000-0000AE240000}"/>
    <cellStyle name="Note 8 2 6 4" xfId="4474" xr:uid="{00000000-0005-0000-0000-0000AF240000}"/>
    <cellStyle name="Note 8 2 6 5" xfId="11509" xr:uid="{00000000-0005-0000-0000-0000B0240000}"/>
    <cellStyle name="Note 8 2 7" xfId="2215" xr:uid="{00000000-0005-0000-0000-0000B1240000}"/>
    <cellStyle name="Note 8 2 7 2" xfId="3674" xr:uid="{00000000-0005-0000-0000-0000B2240000}"/>
    <cellStyle name="Note 8 2 7 2 2" xfId="7244" xr:uid="{00000000-0005-0000-0000-0000B3240000}"/>
    <cellStyle name="Note 8 2 7 2 3" xfId="9209" xr:uid="{00000000-0005-0000-0000-0000B4240000}"/>
    <cellStyle name="Note 8 2 7 2 4" xfId="10501" xr:uid="{00000000-0005-0000-0000-0000B5240000}"/>
    <cellStyle name="Note 8 2 7 3" xfId="5803" xr:uid="{00000000-0005-0000-0000-0000B6240000}"/>
    <cellStyle name="Note 8 2 7 4" xfId="4517" xr:uid="{00000000-0005-0000-0000-0000B7240000}"/>
    <cellStyle name="Note 8 2 7 5" xfId="11581" xr:uid="{00000000-0005-0000-0000-0000B8240000}"/>
    <cellStyle name="Note 8 2 8" xfId="2312" xr:uid="{00000000-0005-0000-0000-0000B9240000}"/>
    <cellStyle name="Note 8 2 8 2" xfId="3769" xr:uid="{00000000-0005-0000-0000-0000BA240000}"/>
    <cellStyle name="Note 8 2 8 2 2" xfId="7339" xr:uid="{00000000-0005-0000-0000-0000BB240000}"/>
    <cellStyle name="Note 8 2 8 2 3" xfId="9302" xr:uid="{00000000-0005-0000-0000-0000BC240000}"/>
    <cellStyle name="Note 8 2 8 2 4" xfId="10596" xr:uid="{00000000-0005-0000-0000-0000BD240000}"/>
    <cellStyle name="Note 8 2 8 3" xfId="5900" xr:uid="{00000000-0005-0000-0000-0000BE240000}"/>
    <cellStyle name="Note 8 2 8 4" xfId="6719" xr:uid="{00000000-0005-0000-0000-0000BF240000}"/>
    <cellStyle name="Note 8 2 8 5" xfId="11677" xr:uid="{00000000-0005-0000-0000-0000C0240000}"/>
    <cellStyle name="Note 8 2 9" xfId="2404" xr:uid="{00000000-0005-0000-0000-0000C1240000}"/>
    <cellStyle name="Note 8 2 9 2" xfId="3860" xr:uid="{00000000-0005-0000-0000-0000C2240000}"/>
    <cellStyle name="Note 8 2 9 2 2" xfId="7430" xr:uid="{00000000-0005-0000-0000-0000C3240000}"/>
    <cellStyle name="Note 8 2 9 2 3" xfId="9392" xr:uid="{00000000-0005-0000-0000-0000C4240000}"/>
    <cellStyle name="Note 8 2 9 2 4" xfId="10687" xr:uid="{00000000-0005-0000-0000-0000C5240000}"/>
    <cellStyle name="Note 8 2 9 3" xfId="5992" xr:uid="{00000000-0005-0000-0000-0000C6240000}"/>
    <cellStyle name="Note 8 2 9 4" xfId="6231" xr:uid="{00000000-0005-0000-0000-0000C7240000}"/>
    <cellStyle name="Note 8 2 9 5" xfId="11768" xr:uid="{00000000-0005-0000-0000-0000C8240000}"/>
    <cellStyle name="Note 8 3" xfId="1591" xr:uid="{00000000-0005-0000-0000-0000C9240000}"/>
    <cellStyle name="Note 8 3 2" xfId="3074" xr:uid="{00000000-0005-0000-0000-0000CA240000}"/>
    <cellStyle name="Note 8 3 2 2" xfId="6651" xr:uid="{00000000-0005-0000-0000-0000CB240000}"/>
    <cellStyle name="Note 8 3 2 3" xfId="8639" xr:uid="{00000000-0005-0000-0000-0000CC240000}"/>
    <cellStyle name="Note 8 3 2 4" xfId="9955" xr:uid="{00000000-0005-0000-0000-0000CD240000}"/>
    <cellStyle name="Note 8 3 3" xfId="5188" xr:uid="{00000000-0005-0000-0000-0000CE240000}"/>
    <cellStyle name="Note 8 3 4" xfId="8530" xr:uid="{00000000-0005-0000-0000-0000CF240000}"/>
    <cellStyle name="Note 8 3 5" xfId="11037" xr:uid="{00000000-0005-0000-0000-0000D0240000}"/>
    <cellStyle name="Note 8 4" xfId="1365" xr:uid="{00000000-0005-0000-0000-0000D1240000}"/>
    <cellStyle name="Note 8 4 2" xfId="2861" xr:uid="{00000000-0005-0000-0000-0000D2240000}"/>
    <cellStyle name="Note 8 4 2 2" xfId="6440" xr:uid="{00000000-0005-0000-0000-0000D3240000}"/>
    <cellStyle name="Note 8 4 2 3" xfId="8441" xr:uid="{00000000-0005-0000-0000-0000D4240000}"/>
    <cellStyle name="Note 8 4 2 4" xfId="9766" xr:uid="{00000000-0005-0000-0000-0000D5240000}"/>
    <cellStyle name="Note 8 4 3" xfId="4963" xr:uid="{00000000-0005-0000-0000-0000D6240000}"/>
    <cellStyle name="Note 8 4 4" xfId="9263" xr:uid="{00000000-0005-0000-0000-0000D7240000}"/>
    <cellStyle name="Note 8 4 5" xfId="10848" xr:uid="{00000000-0005-0000-0000-0000D8240000}"/>
    <cellStyle name="Note 8 5" xfId="1690" xr:uid="{00000000-0005-0000-0000-0000D9240000}"/>
    <cellStyle name="Note 8 5 2" xfId="3168" xr:uid="{00000000-0005-0000-0000-0000DA240000}"/>
    <cellStyle name="Note 8 5 2 2" xfId="6742" xr:uid="{00000000-0005-0000-0000-0000DB240000}"/>
    <cellStyle name="Note 8 5 2 3" xfId="8719" xr:uid="{00000000-0005-0000-0000-0000DC240000}"/>
    <cellStyle name="Note 8 5 2 4" xfId="10024" xr:uid="{00000000-0005-0000-0000-0000DD240000}"/>
    <cellStyle name="Note 8 5 3" xfId="5282" xr:uid="{00000000-0005-0000-0000-0000DE240000}"/>
    <cellStyle name="Note 8 5 4" xfId="4373" xr:uid="{00000000-0005-0000-0000-0000DF240000}"/>
    <cellStyle name="Note 8 5 5" xfId="11101" xr:uid="{00000000-0005-0000-0000-0000E0240000}"/>
    <cellStyle name="Note 8 6" xfId="2616" xr:uid="{00000000-0005-0000-0000-0000E1240000}"/>
    <cellStyle name="Note 8 6 2" xfId="6204" xr:uid="{00000000-0005-0000-0000-0000E2240000}"/>
    <cellStyle name="Note 8 6 3" xfId="8228" xr:uid="{00000000-0005-0000-0000-0000E3240000}"/>
    <cellStyle name="Note 8 6 4" xfId="9578" xr:uid="{00000000-0005-0000-0000-0000E4240000}"/>
    <cellStyle name="Note 8 7" xfId="4602" xr:uid="{00000000-0005-0000-0000-0000E5240000}"/>
    <cellStyle name="Note 8 8" xfId="4273" xr:uid="{00000000-0005-0000-0000-0000E6240000}"/>
    <cellStyle name="Note 8 9" xfId="7864" xr:uid="{00000000-0005-0000-0000-0000E7240000}"/>
    <cellStyle name="Note 9" xfId="987" xr:uid="{00000000-0005-0000-0000-0000E8240000}"/>
    <cellStyle name="Note 9 2" xfId="1231" xr:uid="{00000000-0005-0000-0000-0000E9240000}"/>
    <cellStyle name="Note 9 2 10" xfId="2474" xr:uid="{00000000-0005-0000-0000-0000EA240000}"/>
    <cellStyle name="Note 9 2 10 2" xfId="3929" xr:uid="{00000000-0005-0000-0000-0000EB240000}"/>
    <cellStyle name="Note 9 2 10 2 2" xfId="7499" xr:uid="{00000000-0005-0000-0000-0000EC240000}"/>
    <cellStyle name="Note 9 2 10 2 3" xfId="9459" xr:uid="{00000000-0005-0000-0000-0000ED240000}"/>
    <cellStyle name="Note 9 2 10 2 4" xfId="10756" xr:uid="{00000000-0005-0000-0000-0000EE240000}"/>
    <cellStyle name="Note 9 2 10 3" xfId="6062" xr:uid="{00000000-0005-0000-0000-0000EF240000}"/>
    <cellStyle name="Note 9 2 10 4" xfId="8137" xr:uid="{00000000-0005-0000-0000-0000F0240000}"/>
    <cellStyle name="Note 9 2 10 5" xfId="5280" xr:uid="{00000000-0005-0000-0000-0000F1240000}"/>
    <cellStyle name="Note 9 2 10 6" xfId="11838" xr:uid="{00000000-0005-0000-0000-0000F2240000}"/>
    <cellStyle name="Note 9 2 11" xfId="2527" xr:uid="{00000000-0005-0000-0000-0000F3240000}"/>
    <cellStyle name="Note 9 2 11 2" xfId="3982" xr:uid="{00000000-0005-0000-0000-0000F4240000}"/>
    <cellStyle name="Note 9 2 11 2 2" xfId="7552" xr:uid="{00000000-0005-0000-0000-0000F5240000}"/>
    <cellStyle name="Note 9 2 11 2 3" xfId="9512" xr:uid="{00000000-0005-0000-0000-0000F6240000}"/>
    <cellStyle name="Note 9 2 11 2 4" xfId="10809" xr:uid="{00000000-0005-0000-0000-0000F7240000}"/>
    <cellStyle name="Note 9 2 11 3" xfId="6115" xr:uid="{00000000-0005-0000-0000-0000F8240000}"/>
    <cellStyle name="Note 9 2 11 4" xfId="8162" xr:uid="{00000000-0005-0000-0000-0000F9240000}"/>
    <cellStyle name="Note 9 2 11 5" xfId="6337" xr:uid="{00000000-0005-0000-0000-0000FA240000}"/>
    <cellStyle name="Note 9 2 11 6" xfId="11891" xr:uid="{00000000-0005-0000-0000-0000FB240000}"/>
    <cellStyle name="Note 9 2 12" xfId="2736" xr:uid="{00000000-0005-0000-0000-0000FC240000}"/>
    <cellStyle name="Note 9 2 12 2" xfId="6319" xr:uid="{00000000-0005-0000-0000-0000FD240000}"/>
    <cellStyle name="Note 9 2 12 3" xfId="8331" xr:uid="{00000000-0005-0000-0000-0000FE240000}"/>
    <cellStyle name="Note 9 2 12 4" xfId="9668" xr:uid="{00000000-0005-0000-0000-0000FF240000}"/>
    <cellStyle name="Note 9 2 13" xfId="4830" xr:uid="{00000000-0005-0000-0000-000000250000}"/>
    <cellStyle name="Note 9 2 14" xfId="4134" xr:uid="{00000000-0005-0000-0000-000001250000}"/>
    <cellStyle name="Note 9 2 15" xfId="7712" xr:uid="{00000000-0005-0000-0000-000002250000}"/>
    <cellStyle name="Note 9 2 2" xfId="1772" xr:uid="{00000000-0005-0000-0000-000003250000}"/>
    <cellStyle name="Note 9 2 2 2" xfId="3249" xr:uid="{00000000-0005-0000-0000-000004250000}"/>
    <cellStyle name="Note 9 2 2 2 2" xfId="6822" xr:uid="{00000000-0005-0000-0000-000005250000}"/>
    <cellStyle name="Note 9 2 2 2 3" xfId="8798" xr:uid="{00000000-0005-0000-0000-000006250000}"/>
    <cellStyle name="Note 9 2 2 2 4" xfId="10099" xr:uid="{00000000-0005-0000-0000-000007250000}"/>
    <cellStyle name="Note 9 2 2 3" xfId="5364" xr:uid="{00000000-0005-0000-0000-000008250000}"/>
    <cellStyle name="Note 9 2 2 4" xfId="4191" xr:uid="{00000000-0005-0000-0000-000009250000}"/>
    <cellStyle name="Note 9 2 2 5" xfId="11176" xr:uid="{00000000-0005-0000-0000-00000A250000}"/>
    <cellStyle name="Note 9 2 3" xfId="1938" xr:uid="{00000000-0005-0000-0000-00000B250000}"/>
    <cellStyle name="Note 9 2 3 2" xfId="3402" xr:uid="{00000000-0005-0000-0000-00000C250000}"/>
    <cellStyle name="Note 9 2 3 2 2" xfId="6972" xr:uid="{00000000-0005-0000-0000-00000D250000}"/>
    <cellStyle name="Note 9 2 3 2 3" xfId="8938" xr:uid="{00000000-0005-0000-0000-00000E250000}"/>
    <cellStyle name="Note 9 2 3 2 4" xfId="10229" xr:uid="{00000000-0005-0000-0000-00000F250000}"/>
    <cellStyle name="Note 9 2 3 3" xfId="5526" xr:uid="{00000000-0005-0000-0000-000010250000}"/>
    <cellStyle name="Note 9 2 3 4" xfId="7720" xr:uid="{00000000-0005-0000-0000-000011250000}"/>
    <cellStyle name="Note 9 2 3 5" xfId="11307" xr:uid="{00000000-0005-0000-0000-000012250000}"/>
    <cellStyle name="Note 9 2 4" xfId="2008" xr:uid="{00000000-0005-0000-0000-000013250000}"/>
    <cellStyle name="Note 9 2 4 2" xfId="3471" xr:uid="{00000000-0005-0000-0000-000014250000}"/>
    <cellStyle name="Note 9 2 4 2 2" xfId="7041" xr:uid="{00000000-0005-0000-0000-000015250000}"/>
    <cellStyle name="Note 9 2 4 2 3" xfId="9007" xr:uid="{00000000-0005-0000-0000-000016250000}"/>
    <cellStyle name="Note 9 2 4 2 4" xfId="10298" xr:uid="{00000000-0005-0000-0000-000017250000}"/>
    <cellStyle name="Note 9 2 4 3" xfId="5596" xr:uid="{00000000-0005-0000-0000-000018250000}"/>
    <cellStyle name="Note 9 2 4 4" xfId="7717" xr:uid="{00000000-0005-0000-0000-000019250000}"/>
    <cellStyle name="Note 9 2 4 5" xfId="11376" xr:uid="{00000000-0005-0000-0000-00001A250000}"/>
    <cellStyle name="Note 9 2 5" xfId="2076" xr:uid="{00000000-0005-0000-0000-00001B250000}"/>
    <cellStyle name="Note 9 2 5 2" xfId="3536" xr:uid="{00000000-0005-0000-0000-00001C250000}"/>
    <cellStyle name="Note 9 2 5 2 2" xfId="7106" xr:uid="{00000000-0005-0000-0000-00001D250000}"/>
    <cellStyle name="Note 9 2 5 2 3" xfId="9072" xr:uid="{00000000-0005-0000-0000-00001E250000}"/>
    <cellStyle name="Note 9 2 5 2 4" xfId="10363" xr:uid="{00000000-0005-0000-0000-00001F250000}"/>
    <cellStyle name="Note 9 2 5 3" xfId="5664" xr:uid="{00000000-0005-0000-0000-000020250000}"/>
    <cellStyle name="Note 9 2 5 4" xfId="8062" xr:uid="{00000000-0005-0000-0000-000021250000}"/>
    <cellStyle name="Note 9 2 5 5" xfId="11443" xr:uid="{00000000-0005-0000-0000-000022250000}"/>
    <cellStyle name="Note 9 2 6" xfId="2144" xr:uid="{00000000-0005-0000-0000-000023250000}"/>
    <cellStyle name="Note 9 2 6 2" xfId="3603" xr:uid="{00000000-0005-0000-0000-000024250000}"/>
    <cellStyle name="Note 9 2 6 2 2" xfId="7173" xr:uid="{00000000-0005-0000-0000-000025250000}"/>
    <cellStyle name="Note 9 2 6 2 3" xfId="9138" xr:uid="{00000000-0005-0000-0000-000026250000}"/>
    <cellStyle name="Note 9 2 6 2 4" xfId="10430" xr:uid="{00000000-0005-0000-0000-000027250000}"/>
    <cellStyle name="Note 9 2 6 3" xfId="5732" xr:uid="{00000000-0005-0000-0000-000028250000}"/>
    <cellStyle name="Note 9 2 6 4" xfId="4475" xr:uid="{00000000-0005-0000-0000-000029250000}"/>
    <cellStyle name="Note 9 2 6 5" xfId="11510" xr:uid="{00000000-0005-0000-0000-00002A250000}"/>
    <cellStyle name="Note 9 2 7" xfId="2216" xr:uid="{00000000-0005-0000-0000-00002B250000}"/>
    <cellStyle name="Note 9 2 7 2" xfId="3675" xr:uid="{00000000-0005-0000-0000-00002C250000}"/>
    <cellStyle name="Note 9 2 7 2 2" xfId="7245" xr:uid="{00000000-0005-0000-0000-00002D250000}"/>
    <cellStyle name="Note 9 2 7 2 3" xfId="9210" xr:uid="{00000000-0005-0000-0000-00002E250000}"/>
    <cellStyle name="Note 9 2 7 2 4" xfId="10502" xr:uid="{00000000-0005-0000-0000-00002F250000}"/>
    <cellStyle name="Note 9 2 7 3" xfId="5804" xr:uid="{00000000-0005-0000-0000-000030250000}"/>
    <cellStyle name="Note 9 2 7 4" xfId="5148" xr:uid="{00000000-0005-0000-0000-000031250000}"/>
    <cellStyle name="Note 9 2 7 5" xfId="11582" xr:uid="{00000000-0005-0000-0000-000032250000}"/>
    <cellStyle name="Note 9 2 8" xfId="2313" xr:uid="{00000000-0005-0000-0000-000033250000}"/>
    <cellStyle name="Note 9 2 8 2" xfId="3770" xr:uid="{00000000-0005-0000-0000-000034250000}"/>
    <cellStyle name="Note 9 2 8 2 2" xfId="7340" xr:uid="{00000000-0005-0000-0000-000035250000}"/>
    <cellStyle name="Note 9 2 8 2 3" xfId="9303" xr:uid="{00000000-0005-0000-0000-000036250000}"/>
    <cellStyle name="Note 9 2 8 2 4" xfId="10597" xr:uid="{00000000-0005-0000-0000-000037250000}"/>
    <cellStyle name="Note 9 2 8 3" xfId="5901" xr:uid="{00000000-0005-0000-0000-000038250000}"/>
    <cellStyle name="Note 9 2 8 4" xfId="6232" xr:uid="{00000000-0005-0000-0000-000039250000}"/>
    <cellStyle name="Note 9 2 8 5" xfId="11678" xr:uid="{00000000-0005-0000-0000-00003A250000}"/>
    <cellStyle name="Note 9 2 9" xfId="2405" xr:uid="{00000000-0005-0000-0000-00003B250000}"/>
    <cellStyle name="Note 9 2 9 2" xfId="3861" xr:uid="{00000000-0005-0000-0000-00003C250000}"/>
    <cellStyle name="Note 9 2 9 2 2" xfId="7431" xr:uid="{00000000-0005-0000-0000-00003D250000}"/>
    <cellStyle name="Note 9 2 9 2 3" xfId="9393" xr:uid="{00000000-0005-0000-0000-00003E250000}"/>
    <cellStyle name="Note 9 2 9 2 4" xfId="10688" xr:uid="{00000000-0005-0000-0000-00003F250000}"/>
    <cellStyle name="Note 9 2 9 3" xfId="5993" xr:uid="{00000000-0005-0000-0000-000040250000}"/>
    <cellStyle name="Note 9 2 9 4" xfId="4715" xr:uid="{00000000-0005-0000-0000-000041250000}"/>
    <cellStyle name="Note 9 2 9 5" xfId="11769" xr:uid="{00000000-0005-0000-0000-000042250000}"/>
    <cellStyle name="Note 9 3" xfId="1592" xr:uid="{00000000-0005-0000-0000-000043250000}"/>
    <cellStyle name="Note 9 3 2" xfId="3075" xr:uid="{00000000-0005-0000-0000-000044250000}"/>
    <cellStyle name="Note 9 3 2 2" xfId="6652" xr:uid="{00000000-0005-0000-0000-000045250000}"/>
    <cellStyle name="Note 9 3 2 3" xfId="8640" xr:uid="{00000000-0005-0000-0000-000046250000}"/>
    <cellStyle name="Note 9 3 2 4" xfId="9956" xr:uid="{00000000-0005-0000-0000-000047250000}"/>
    <cellStyle name="Note 9 3 3" xfId="5189" xr:uid="{00000000-0005-0000-0000-000048250000}"/>
    <cellStyle name="Note 9 3 4" xfId="7649" xr:uid="{00000000-0005-0000-0000-000049250000}"/>
    <cellStyle name="Note 9 3 5" xfId="11038" xr:uid="{00000000-0005-0000-0000-00004A250000}"/>
    <cellStyle name="Note 9 4" xfId="1364" xr:uid="{00000000-0005-0000-0000-00004B250000}"/>
    <cellStyle name="Note 9 4 2" xfId="2860" xr:uid="{00000000-0005-0000-0000-00004C250000}"/>
    <cellStyle name="Note 9 4 2 2" xfId="6439" xr:uid="{00000000-0005-0000-0000-00004D250000}"/>
    <cellStyle name="Note 9 4 2 3" xfId="8440" xr:uid="{00000000-0005-0000-0000-00004E250000}"/>
    <cellStyle name="Note 9 4 2 4" xfId="9765" xr:uid="{00000000-0005-0000-0000-00004F250000}"/>
    <cellStyle name="Note 9 4 3" xfId="4962" xr:uid="{00000000-0005-0000-0000-000050250000}"/>
    <cellStyle name="Note 9 4 4" xfId="8083" xr:uid="{00000000-0005-0000-0000-000051250000}"/>
    <cellStyle name="Note 9 4 5" xfId="10847" xr:uid="{00000000-0005-0000-0000-000052250000}"/>
    <cellStyle name="Note 9 5" xfId="2126" xr:uid="{00000000-0005-0000-0000-000053250000}"/>
    <cellStyle name="Note 9 5 2" xfId="3585" xr:uid="{00000000-0005-0000-0000-000054250000}"/>
    <cellStyle name="Note 9 5 2 2" xfId="7155" xr:uid="{00000000-0005-0000-0000-000055250000}"/>
    <cellStyle name="Note 9 5 2 3" xfId="9120" xr:uid="{00000000-0005-0000-0000-000056250000}"/>
    <cellStyle name="Note 9 5 2 4" xfId="10412" xr:uid="{00000000-0005-0000-0000-000057250000}"/>
    <cellStyle name="Note 9 5 3" xfId="5714" xr:uid="{00000000-0005-0000-0000-000058250000}"/>
    <cellStyle name="Note 9 5 4" xfId="4460" xr:uid="{00000000-0005-0000-0000-000059250000}"/>
    <cellStyle name="Note 9 5 5" xfId="11492" xr:uid="{00000000-0005-0000-0000-00005A250000}"/>
    <cellStyle name="Note 9 6" xfId="2617" xr:uid="{00000000-0005-0000-0000-00005B250000}"/>
    <cellStyle name="Note 9 6 2" xfId="6205" xr:uid="{00000000-0005-0000-0000-00005C250000}"/>
    <cellStyle name="Note 9 6 3" xfId="8229" xr:uid="{00000000-0005-0000-0000-00005D250000}"/>
    <cellStyle name="Note 9 6 4" xfId="9579" xr:uid="{00000000-0005-0000-0000-00005E250000}"/>
    <cellStyle name="Note 9 7" xfId="4603" xr:uid="{00000000-0005-0000-0000-00005F250000}"/>
    <cellStyle name="Note 9 8" xfId="4272" xr:uid="{00000000-0005-0000-0000-000060250000}"/>
    <cellStyle name="Note 9 9" xfId="8602" xr:uid="{00000000-0005-0000-0000-000061250000}"/>
    <cellStyle name="Output" xfId="103" builtinId="21" customBuiltin="1"/>
    <cellStyle name="Output 10" xfId="988" xr:uid="{00000000-0005-0000-0000-000063250000}"/>
    <cellStyle name="Output 10 2" xfId="1232" xr:uid="{00000000-0005-0000-0000-000064250000}"/>
    <cellStyle name="Output 10 2 10" xfId="2475" xr:uid="{00000000-0005-0000-0000-000065250000}"/>
    <cellStyle name="Output 10 2 10 2" xfId="3930" xr:uid="{00000000-0005-0000-0000-000066250000}"/>
    <cellStyle name="Output 10 2 10 2 2" xfId="7500" xr:uid="{00000000-0005-0000-0000-000067250000}"/>
    <cellStyle name="Output 10 2 10 2 3" xfId="9460" xr:uid="{00000000-0005-0000-0000-000068250000}"/>
    <cellStyle name="Output 10 2 10 2 4" xfId="10757" xr:uid="{00000000-0005-0000-0000-000069250000}"/>
    <cellStyle name="Output 10 2 10 3" xfId="6063" xr:uid="{00000000-0005-0000-0000-00006A250000}"/>
    <cellStyle name="Output 10 2 10 4" xfId="6740" xr:uid="{00000000-0005-0000-0000-00006B250000}"/>
    <cellStyle name="Output 10 2 10 5" xfId="11839" xr:uid="{00000000-0005-0000-0000-00006C250000}"/>
    <cellStyle name="Output 10 2 11" xfId="2528" xr:uid="{00000000-0005-0000-0000-00006D250000}"/>
    <cellStyle name="Output 10 2 11 2" xfId="3983" xr:uid="{00000000-0005-0000-0000-00006E250000}"/>
    <cellStyle name="Output 10 2 11 2 2" xfId="7553" xr:uid="{00000000-0005-0000-0000-00006F250000}"/>
    <cellStyle name="Output 10 2 11 2 3" xfId="9513" xr:uid="{00000000-0005-0000-0000-000070250000}"/>
    <cellStyle name="Output 10 2 11 2 4" xfId="10810" xr:uid="{00000000-0005-0000-0000-000071250000}"/>
    <cellStyle name="Output 10 2 11 3" xfId="6116" xr:uid="{00000000-0005-0000-0000-000072250000}"/>
    <cellStyle name="Output 10 2 11 4" xfId="5222" xr:uid="{00000000-0005-0000-0000-000073250000}"/>
    <cellStyle name="Output 10 2 11 5" xfId="11892" xr:uid="{00000000-0005-0000-0000-000074250000}"/>
    <cellStyle name="Output 10 2 12" xfId="2737" xr:uid="{00000000-0005-0000-0000-000075250000}"/>
    <cellStyle name="Output 10 2 12 2" xfId="6320" xr:uid="{00000000-0005-0000-0000-000076250000}"/>
    <cellStyle name="Output 10 2 12 3" xfId="8332" xr:uid="{00000000-0005-0000-0000-000077250000}"/>
    <cellStyle name="Output 10 2 12 4" xfId="9669" xr:uid="{00000000-0005-0000-0000-000078250000}"/>
    <cellStyle name="Output 10 2 13" xfId="4831" xr:uid="{00000000-0005-0000-0000-000079250000}"/>
    <cellStyle name="Output 10 2 14" xfId="4133" xr:uid="{00000000-0005-0000-0000-00007A250000}"/>
    <cellStyle name="Output 10 2 15" xfId="7594" xr:uid="{00000000-0005-0000-0000-00007B250000}"/>
    <cellStyle name="Output 10 2 2" xfId="1773" xr:uid="{00000000-0005-0000-0000-00007C250000}"/>
    <cellStyle name="Output 10 2 2 2" xfId="3250" xr:uid="{00000000-0005-0000-0000-00007D250000}"/>
    <cellStyle name="Output 10 2 2 2 2" xfId="6823" xr:uid="{00000000-0005-0000-0000-00007E250000}"/>
    <cellStyle name="Output 10 2 2 2 3" xfId="8799" xr:uid="{00000000-0005-0000-0000-00007F250000}"/>
    <cellStyle name="Output 10 2 2 2 4" xfId="10100" xr:uid="{00000000-0005-0000-0000-000080250000}"/>
    <cellStyle name="Output 10 2 2 3" xfId="5365" xr:uid="{00000000-0005-0000-0000-000081250000}"/>
    <cellStyle name="Output 10 2 2 4" xfId="6476" xr:uid="{00000000-0005-0000-0000-000082250000}"/>
    <cellStyle name="Output 10 2 2 5" xfId="11177" xr:uid="{00000000-0005-0000-0000-000083250000}"/>
    <cellStyle name="Output 10 2 3" xfId="1939" xr:uid="{00000000-0005-0000-0000-000084250000}"/>
    <cellStyle name="Output 10 2 3 2" xfId="3403" xr:uid="{00000000-0005-0000-0000-000085250000}"/>
    <cellStyle name="Output 10 2 3 2 2" xfId="6973" xr:uid="{00000000-0005-0000-0000-000086250000}"/>
    <cellStyle name="Output 10 2 3 2 3" xfId="8939" xr:uid="{00000000-0005-0000-0000-000087250000}"/>
    <cellStyle name="Output 10 2 3 2 4" xfId="10230" xr:uid="{00000000-0005-0000-0000-000088250000}"/>
    <cellStyle name="Output 10 2 3 3" xfId="5527" xr:uid="{00000000-0005-0000-0000-000089250000}"/>
    <cellStyle name="Output 10 2 3 4" xfId="7890" xr:uid="{00000000-0005-0000-0000-00008A250000}"/>
    <cellStyle name="Output 10 2 3 5" xfId="11308" xr:uid="{00000000-0005-0000-0000-00008B250000}"/>
    <cellStyle name="Output 10 2 4" xfId="2009" xr:uid="{00000000-0005-0000-0000-00008C250000}"/>
    <cellStyle name="Output 10 2 4 2" xfId="3472" xr:uid="{00000000-0005-0000-0000-00008D250000}"/>
    <cellStyle name="Output 10 2 4 2 2" xfId="7042" xr:uid="{00000000-0005-0000-0000-00008E250000}"/>
    <cellStyle name="Output 10 2 4 2 3" xfId="9008" xr:uid="{00000000-0005-0000-0000-00008F250000}"/>
    <cellStyle name="Output 10 2 4 2 4" xfId="10299" xr:uid="{00000000-0005-0000-0000-000090250000}"/>
    <cellStyle name="Output 10 2 4 3" xfId="5597" xr:uid="{00000000-0005-0000-0000-000091250000}"/>
    <cellStyle name="Output 10 2 4 4" xfId="7725" xr:uid="{00000000-0005-0000-0000-000092250000}"/>
    <cellStyle name="Output 10 2 4 5" xfId="11377" xr:uid="{00000000-0005-0000-0000-000093250000}"/>
    <cellStyle name="Output 10 2 5" xfId="2077" xr:uid="{00000000-0005-0000-0000-000094250000}"/>
    <cellStyle name="Output 10 2 5 2" xfId="3537" xr:uid="{00000000-0005-0000-0000-000095250000}"/>
    <cellStyle name="Output 10 2 5 2 2" xfId="7107" xr:uid="{00000000-0005-0000-0000-000096250000}"/>
    <cellStyle name="Output 10 2 5 2 3" xfId="9073" xr:uid="{00000000-0005-0000-0000-000097250000}"/>
    <cellStyle name="Output 10 2 5 2 4" xfId="10364" xr:uid="{00000000-0005-0000-0000-000098250000}"/>
    <cellStyle name="Output 10 2 5 3" xfId="5665" xr:uid="{00000000-0005-0000-0000-000099250000}"/>
    <cellStyle name="Output 10 2 5 4" xfId="8018" xr:uid="{00000000-0005-0000-0000-00009A250000}"/>
    <cellStyle name="Output 10 2 5 5" xfId="11444" xr:uid="{00000000-0005-0000-0000-00009B250000}"/>
    <cellStyle name="Output 10 2 6" xfId="2145" xr:uid="{00000000-0005-0000-0000-00009C250000}"/>
    <cellStyle name="Output 10 2 6 2" xfId="3604" xr:uid="{00000000-0005-0000-0000-00009D250000}"/>
    <cellStyle name="Output 10 2 6 2 2" xfId="7174" xr:uid="{00000000-0005-0000-0000-00009E250000}"/>
    <cellStyle name="Output 10 2 6 2 3" xfId="9139" xr:uid="{00000000-0005-0000-0000-00009F250000}"/>
    <cellStyle name="Output 10 2 6 2 4" xfId="10431" xr:uid="{00000000-0005-0000-0000-0000A0250000}"/>
    <cellStyle name="Output 10 2 6 3" xfId="5733" xr:uid="{00000000-0005-0000-0000-0000A1250000}"/>
    <cellStyle name="Output 10 2 6 4" xfId="4476" xr:uid="{00000000-0005-0000-0000-0000A2250000}"/>
    <cellStyle name="Output 10 2 6 5" xfId="11511" xr:uid="{00000000-0005-0000-0000-0000A3250000}"/>
    <cellStyle name="Output 10 2 7" xfId="2217" xr:uid="{00000000-0005-0000-0000-0000A4250000}"/>
    <cellStyle name="Output 10 2 7 2" xfId="3676" xr:uid="{00000000-0005-0000-0000-0000A5250000}"/>
    <cellStyle name="Output 10 2 7 2 2" xfId="7246" xr:uid="{00000000-0005-0000-0000-0000A6250000}"/>
    <cellStyle name="Output 10 2 7 2 3" xfId="9211" xr:uid="{00000000-0005-0000-0000-0000A7250000}"/>
    <cellStyle name="Output 10 2 7 2 4" xfId="10503" xr:uid="{00000000-0005-0000-0000-0000A8250000}"/>
    <cellStyle name="Output 10 2 7 3" xfId="5805" xr:uid="{00000000-0005-0000-0000-0000A9250000}"/>
    <cellStyle name="Output 10 2 7 4" xfId="6612" xr:uid="{00000000-0005-0000-0000-0000AA250000}"/>
    <cellStyle name="Output 10 2 7 5" xfId="11583" xr:uid="{00000000-0005-0000-0000-0000AB250000}"/>
    <cellStyle name="Output 10 2 8" xfId="2314" xr:uid="{00000000-0005-0000-0000-0000AC250000}"/>
    <cellStyle name="Output 10 2 8 2" xfId="3771" xr:uid="{00000000-0005-0000-0000-0000AD250000}"/>
    <cellStyle name="Output 10 2 8 2 2" xfId="7341" xr:uid="{00000000-0005-0000-0000-0000AE250000}"/>
    <cellStyle name="Output 10 2 8 2 3" xfId="9304" xr:uid="{00000000-0005-0000-0000-0000AF250000}"/>
    <cellStyle name="Output 10 2 8 2 4" xfId="10598" xr:uid="{00000000-0005-0000-0000-0000B0250000}"/>
    <cellStyle name="Output 10 2 8 3" xfId="5902" xr:uid="{00000000-0005-0000-0000-0000B1250000}"/>
    <cellStyle name="Output 10 2 8 4" xfId="4043" xr:uid="{00000000-0005-0000-0000-0000B2250000}"/>
    <cellStyle name="Output 10 2 8 5" xfId="11679" xr:uid="{00000000-0005-0000-0000-0000B3250000}"/>
    <cellStyle name="Output 10 2 9" xfId="2406" xr:uid="{00000000-0005-0000-0000-0000B4250000}"/>
    <cellStyle name="Output 10 2 9 2" xfId="3862" xr:uid="{00000000-0005-0000-0000-0000B5250000}"/>
    <cellStyle name="Output 10 2 9 2 2" xfId="7432" xr:uid="{00000000-0005-0000-0000-0000B6250000}"/>
    <cellStyle name="Output 10 2 9 2 3" xfId="9394" xr:uid="{00000000-0005-0000-0000-0000B7250000}"/>
    <cellStyle name="Output 10 2 9 2 4" xfId="10689" xr:uid="{00000000-0005-0000-0000-0000B8250000}"/>
    <cellStyle name="Output 10 2 9 3" xfId="5994" xr:uid="{00000000-0005-0000-0000-0000B9250000}"/>
    <cellStyle name="Output 10 2 9 4" xfId="4865" xr:uid="{00000000-0005-0000-0000-0000BA250000}"/>
    <cellStyle name="Output 10 2 9 5" xfId="11770" xr:uid="{00000000-0005-0000-0000-0000BB250000}"/>
    <cellStyle name="Output 10 3" xfId="1593" xr:uid="{00000000-0005-0000-0000-0000BC250000}"/>
    <cellStyle name="Output 10 3 2" xfId="3076" xr:uid="{00000000-0005-0000-0000-0000BD250000}"/>
    <cellStyle name="Output 10 3 2 2" xfId="6653" xr:uid="{00000000-0005-0000-0000-0000BE250000}"/>
    <cellStyle name="Output 10 3 2 3" xfId="8641" xr:uid="{00000000-0005-0000-0000-0000BF250000}"/>
    <cellStyle name="Output 10 3 2 4" xfId="9957" xr:uid="{00000000-0005-0000-0000-0000C0250000}"/>
    <cellStyle name="Output 10 3 3" xfId="5190" xr:uid="{00000000-0005-0000-0000-0000C1250000}"/>
    <cellStyle name="Output 10 3 4" xfId="9347" xr:uid="{00000000-0005-0000-0000-0000C2250000}"/>
    <cellStyle name="Output 10 3 5" xfId="11039" xr:uid="{00000000-0005-0000-0000-0000C3250000}"/>
    <cellStyle name="Output 10 4" xfId="1559" xr:uid="{00000000-0005-0000-0000-0000C4250000}"/>
    <cellStyle name="Output 10 4 2" xfId="3043" xr:uid="{00000000-0005-0000-0000-0000C5250000}"/>
    <cellStyle name="Output 10 4 2 2" xfId="6620" xr:uid="{00000000-0005-0000-0000-0000C6250000}"/>
    <cellStyle name="Output 10 4 2 3" xfId="8611" xr:uid="{00000000-0005-0000-0000-0000C7250000}"/>
    <cellStyle name="Output 10 4 2 4" xfId="9927" xr:uid="{00000000-0005-0000-0000-0000C8250000}"/>
    <cellStyle name="Output 10 4 3" xfId="5156" xr:uid="{00000000-0005-0000-0000-0000C9250000}"/>
    <cellStyle name="Output 10 4 4" xfId="8285" xr:uid="{00000000-0005-0000-0000-0000CA250000}"/>
    <cellStyle name="Output 10 4 5" xfId="11009" xr:uid="{00000000-0005-0000-0000-0000CB250000}"/>
    <cellStyle name="Output 10 5" xfId="1451" xr:uid="{00000000-0005-0000-0000-0000CC250000}"/>
    <cellStyle name="Output 10 5 2" xfId="2938" xr:uid="{00000000-0005-0000-0000-0000CD250000}"/>
    <cellStyle name="Output 10 5 2 2" xfId="6515" xr:uid="{00000000-0005-0000-0000-0000CE250000}"/>
    <cellStyle name="Output 10 5 2 3" xfId="8518" xr:uid="{00000000-0005-0000-0000-0000CF250000}"/>
    <cellStyle name="Output 10 5 2 4" xfId="9839" xr:uid="{00000000-0005-0000-0000-0000D0250000}"/>
    <cellStyle name="Output 10 5 3" xfId="5048" xr:uid="{00000000-0005-0000-0000-0000D1250000}"/>
    <cellStyle name="Output 10 5 4" xfId="8956" xr:uid="{00000000-0005-0000-0000-0000D2250000}"/>
    <cellStyle name="Output 10 5 5" xfId="10920" xr:uid="{00000000-0005-0000-0000-0000D3250000}"/>
    <cellStyle name="Output 10 6" xfId="2618" xr:uid="{00000000-0005-0000-0000-0000D4250000}"/>
    <cellStyle name="Output 10 6 2" xfId="6206" xr:uid="{00000000-0005-0000-0000-0000D5250000}"/>
    <cellStyle name="Output 10 6 3" xfId="8230" xr:uid="{00000000-0005-0000-0000-0000D6250000}"/>
    <cellStyle name="Output 10 6 4" xfId="9580" xr:uid="{00000000-0005-0000-0000-0000D7250000}"/>
    <cellStyle name="Output 10 7" xfId="4604" xr:uid="{00000000-0005-0000-0000-0000D8250000}"/>
    <cellStyle name="Output 10 8" xfId="4271" xr:uid="{00000000-0005-0000-0000-0000D9250000}"/>
    <cellStyle name="Output 10 9" xfId="7705" xr:uid="{00000000-0005-0000-0000-0000DA250000}"/>
    <cellStyle name="Output 11" xfId="989" xr:uid="{00000000-0005-0000-0000-0000DB250000}"/>
    <cellStyle name="Output 11 2" xfId="1233" xr:uid="{00000000-0005-0000-0000-0000DC250000}"/>
    <cellStyle name="Output 11 2 10" xfId="2476" xr:uid="{00000000-0005-0000-0000-0000DD250000}"/>
    <cellStyle name="Output 11 2 10 2" xfId="3931" xr:uid="{00000000-0005-0000-0000-0000DE250000}"/>
    <cellStyle name="Output 11 2 10 2 2" xfId="7501" xr:uid="{00000000-0005-0000-0000-0000DF250000}"/>
    <cellStyle name="Output 11 2 10 2 3" xfId="9461" xr:uid="{00000000-0005-0000-0000-0000E0250000}"/>
    <cellStyle name="Output 11 2 10 2 4" xfId="10758" xr:uid="{00000000-0005-0000-0000-0000E1250000}"/>
    <cellStyle name="Output 11 2 10 3" xfId="6064" xr:uid="{00000000-0005-0000-0000-0000E2250000}"/>
    <cellStyle name="Output 11 2 10 4" xfId="6247" xr:uid="{00000000-0005-0000-0000-0000E3250000}"/>
    <cellStyle name="Output 11 2 10 5" xfId="11840" xr:uid="{00000000-0005-0000-0000-0000E4250000}"/>
    <cellStyle name="Output 11 2 11" xfId="2529" xr:uid="{00000000-0005-0000-0000-0000E5250000}"/>
    <cellStyle name="Output 11 2 11 2" xfId="3984" xr:uid="{00000000-0005-0000-0000-0000E6250000}"/>
    <cellStyle name="Output 11 2 11 2 2" xfId="7554" xr:uid="{00000000-0005-0000-0000-0000E7250000}"/>
    <cellStyle name="Output 11 2 11 2 3" xfId="9514" xr:uid="{00000000-0005-0000-0000-0000E8250000}"/>
    <cellStyle name="Output 11 2 11 2 4" xfId="10811" xr:uid="{00000000-0005-0000-0000-0000E9250000}"/>
    <cellStyle name="Output 11 2 11 3" xfId="6117" xr:uid="{00000000-0005-0000-0000-0000EA250000}"/>
    <cellStyle name="Output 11 2 11 4" xfId="6685" xr:uid="{00000000-0005-0000-0000-0000EB250000}"/>
    <cellStyle name="Output 11 2 11 5" xfId="11893" xr:uid="{00000000-0005-0000-0000-0000EC250000}"/>
    <cellStyle name="Output 11 2 12" xfId="2738" xr:uid="{00000000-0005-0000-0000-0000ED250000}"/>
    <cellStyle name="Output 11 2 12 2" xfId="6321" xr:uid="{00000000-0005-0000-0000-0000EE250000}"/>
    <cellStyle name="Output 11 2 12 3" xfId="8333" xr:uid="{00000000-0005-0000-0000-0000EF250000}"/>
    <cellStyle name="Output 11 2 12 4" xfId="9670" xr:uid="{00000000-0005-0000-0000-0000F0250000}"/>
    <cellStyle name="Output 11 2 13" xfId="4832" xr:uid="{00000000-0005-0000-0000-0000F1250000}"/>
    <cellStyle name="Output 11 2 14" xfId="4132" xr:uid="{00000000-0005-0000-0000-0000F2250000}"/>
    <cellStyle name="Output 11 2 15" xfId="7696" xr:uid="{00000000-0005-0000-0000-0000F3250000}"/>
    <cellStyle name="Output 11 2 2" xfId="1774" xr:uid="{00000000-0005-0000-0000-0000F4250000}"/>
    <cellStyle name="Output 11 2 2 2" xfId="3251" xr:uid="{00000000-0005-0000-0000-0000F5250000}"/>
    <cellStyle name="Output 11 2 2 2 2" xfId="6824" xr:uid="{00000000-0005-0000-0000-0000F6250000}"/>
    <cellStyle name="Output 11 2 2 2 3" xfId="8800" xr:uid="{00000000-0005-0000-0000-0000F7250000}"/>
    <cellStyle name="Output 11 2 2 2 4" xfId="10101" xr:uid="{00000000-0005-0000-0000-0000F8250000}"/>
    <cellStyle name="Output 11 2 2 3" xfId="5366" xr:uid="{00000000-0005-0000-0000-0000F9250000}"/>
    <cellStyle name="Output 11 2 2 4" xfId="4229" xr:uid="{00000000-0005-0000-0000-0000FA250000}"/>
    <cellStyle name="Output 11 2 2 5" xfId="11178" xr:uid="{00000000-0005-0000-0000-0000FB250000}"/>
    <cellStyle name="Output 11 2 3" xfId="1940" xr:uid="{00000000-0005-0000-0000-0000FC250000}"/>
    <cellStyle name="Output 11 2 3 2" xfId="3404" xr:uid="{00000000-0005-0000-0000-0000FD250000}"/>
    <cellStyle name="Output 11 2 3 2 2" xfId="6974" xr:uid="{00000000-0005-0000-0000-0000FE250000}"/>
    <cellStyle name="Output 11 2 3 2 3" xfId="8940" xr:uid="{00000000-0005-0000-0000-0000FF250000}"/>
    <cellStyle name="Output 11 2 3 2 4" xfId="10231" xr:uid="{00000000-0005-0000-0000-000000260000}"/>
    <cellStyle name="Output 11 2 3 3" xfId="5528" xr:uid="{00000000-0005-0000-0000-000001260000}"/>
    <cellStyle name="Output 11 2 3 4" xfId="7793" xr:uid="{00000000-0005-0000-0000-000002260000}"/>
    <cellStyle name="Output 11 2 3 5" xfId="11309" xr:uid="{00000000-0005-0000-0000-000003260000}"/>
    <cellStyle name="Output 11 2 4" xfId="2010" xr:uid="{00000000-0005-0000-0000-000004260000}"/>
    <cellStyle name="Output 11 2 4 2" xfId="3473" xr:uid="{00000000-0005-0000-0000-000005260000}"/>
    <cellStyle name="Output 11 2 4 2 2" xfId="7043" xr:uid="{00000000-0005-0000-0000-000006260000}"/>
    <cellStyle name="Output 11 2 4 2 3" xfId="9009" xr:uid="{00000000-0005-0000-0000-000007260000}"/>
    <cellStyle name="Output 11 2 4 2 4" xfId="10300" xr:uid="{00000000-0005-0000-0000-000008260000}"/>
    <cellStyle name="Output 11 2 4 3" xfId="5598" xr:uid="{00000000-0005-0000-0000-000009260000}"/>
    <cellStyle name="Output 11 2 4 4" xfId="7621" xr:uid="{00000000-0005-0000-0000-00000A260000}"/>
    <cellStyle name="Output 11 2 4 5" xfId="11378" xr:uid="{00000000-0005-0000-0000-00000B260000}"/>
    <cellStyle name="Output 11 2 5" xfId="2078" xr:uid="{00000000-0005-0000-0000-00000C260000}"/>
    <cellStyle name="Output 11 2 5 2" xfId="3538" xr:uid="{00000000-0005-0000-0000-00000D260000}"/>
    <cellStyle name="Output 11 2 5 2 2" xfId="7108" xr:uid="{00000000-0005-0000-0000-00000E260000}"/>
    <cellStyle name="Output 11 2 5 2 3" xfId="9074" xr:uid="{00000000-0005-0000-0000-00000F260000}"/>
    <cellStyle name="Output 11 2 5 2 4" xfId="10365" xr:uid="{00000000-0005-0000-0000-000010260000}"/>
    <cellStyle name="Output 11 2 5 3" xfId="5666" xr:uid="{00000000-0005-0000-0000-000011260000}"/>
    <cellStyle name="Output 11 2 5 4" xfId="4064" xr:uid="{00000000-0005-0000-0000-000012260000}"/>
    <cellStyle name="Output 11 2 5 5" xfId="11445" xr:uid="{00000000-0005-0000-0000-000013260000}"/>
    <cellStyle name="Output 11 2 6" xfId="2146" xr:uid="{00000000-0005-0000-0000-000014260000}"/>
    <cellStyle name="Output 11 2 6 2" xfId="3605" xr:uid="{00000000-0005-0000-0000-000015260000}"/>
    <cellStyle name="Output 11 2 6 2 2" xfId="7175" xr:uid="{00000000-0005-0000-0000-000016260000}"/>
    <cellStyle name="Output 11 2 6 2 3" xfId="9140" xr:uid="{00000000-0005-0000-0000-000017260000}"/>
    <cellStyle name="Output 11 2 6 2 4" xfId="10432" xr:uid="{00000000-0005-0000-0000-000018260000}"/>
    <cellStyle name="Output 11 2 6 3" xfId="5734" xr:uid="{00000000-0005-0000-0000-000019260000}"/>
    <cellStyle name="Output 11 2 6 4" xfId="4477" xr:uid="{00000000-0005-0000-0000-00001A260000}"/>
    <cellStyle name="Output 11 2 6 5" xfId="11512" xr:uid="{00000000-0005-0000-0000-00001B260000}"/>
    <cellStyle name="Output 11 2 7" xfId="2218" xr:uid="{00000000-0005-0000-0000-00001C260000}"/>
    <cellStyle name="Output 11 2 7 2" xfId="3677" xr:uid="{00000000-0005-0000-0000-00001D260000}"/>
    <cellStyle name="Output 11 2 7 2 2" xfId="7247" xr:uid="{00000000-0005-0000-0000-00001E260000}"/>
    <cellStyle name="Output 11 2 7 2 3" xfId="9212" xr:uid="{00000000-0005-0000-0000-00001F260000}"/>
    <cellStyle name="Output 11 2 7 2 4" xfId="10504" xr:uid="{00000000-0005-0000-0000-000020260000}"/>
    <cellStyle name="Output 11 2 7 3" xfId="5806" xr:uid="{00000000-0005-0000-0000-000021260000}"/>
    <cellStyle name="Output 11 2 7 4" xfId="5549" xr:uid="{00000000-0005-0000-0000-000022260000}"/>
    <cellStyle name="Output 11 2 7 5" xfId="11584" xr:uid="{00000000-0005-0000-0000-000023260000}"/>
    <cellStyle name="Output 11 2 8" xfId="2315" xr:uid="{00000000-0005-0000-0000-000024260000}"/>
    <cellStyle name="Output 11 2 8 2" xfId="3772" xr:uid="{00000000-0005-0000-0000-000025260000}"/>
    <cellStyle name="Output 11 2 8 2 2" xfId="7342" xr:uid="{00000000-0005-0000-0000-000026260000}"/>
    <cellStyle name="Output 11 2 8 2 3" xfId="9305" xr:uid="{00000000-0005-0000-0000-000027260000}"/>
    <cellStyle name="Output 11 2 8 2 4" xfId="10599" xr:uid="{00000000-0005-0000-0000-000028260000}"/>
    <cellStyle name="Output 11 2 8 3" xfId="5903" xr:uid="{00000000-0005-0000-0000-000029260000}"/>
    <cellStyle name="Output 11 2 8 4" xfId="4566" xr:uid="{00000000-0005-0000-0000-00002A260000}"/>
    <cellStyle name="Output 11 2 8 5" xfId="11680" xr:uid="{00000000-0005-0000-0000-00002B260000}"/>
    <cellStyle name="Output 11 2 9" xfId="2407" xr:uid="{00000000-0005-0000-0000-00002C260000}"/>
    <cellStyle name="Output 11 2 9 2" xfId="3863" xr:uid="{00000000-0005-0000-0000-00002D260000}"/>
    <cellStyle name="Output 11 2 9 2 2" xfId="7433" xr:uid="{00000000-0005-0000-0000-00002E260000}"/>
    <cellStyle name="Output 11 2 9 2 3" xfId="9395" xr:uid="{00000000-0005-0000-0000-00002F260000}"/>
    <cellStyle name="Output 11 2 9 2 4" xfId="10690" xr:uid="{00000000-0005-0000-0000-000030260000}"/>
    <cellStyle name="Output 11 2 9 3" xfId="5995" xr:uid="{00000000-0005-0000-0000-000031260000}"/>
    <cellStyle name="Output 11 2 9 4" xfId="5395" xr:uid="{00000000-0005-0000-0000-000032260000}"/>
    <cellStyle name="Output 11 2 9 5" xfId="11771" xr:uid="{00000000-0005-0000-0000-000033260000}"/>
    <cellStyle name="Output 11 3" xfId="1594" xr:uid="{00000000-0005-0000-0000-000034260000}"/>
    <cellStyle name="Output 11 3 2" xfId="3077" xr:uid="{00000000-0005-0000-0000-000035260000}"/>
    <cellStyle name="Output 11 3 2 2" xfId="6654" xr:uid="{00000000-0005-0000-0000-000036260000}"/>
    <cellStyle name="Output 11 3 2 3" xfId="8642" xr:uid="{00000000-0005-0000-0000-000037260000}"/>
    <cellStyle name="Output 11 3 2 4" xfId="9958" xr:uid="{00000000-0005-0000-0000-000038260000}"/>
    <cellStyle name="Output 11 3 3" xfId="5191" xr:uid="{00000000-0005-0000-0000-000039260000}"/>
    <cellStyle name="Output 11 3 4" xfId="8078" xr:uid="{00000000-0005-0000-0000-00003A260000}"/>
    <cellStyle name="Output 11 3 5" xfId="11040" xr:uid="{00000000-0005-0000-0000-00003B260000}"/>
    <cellStyle name="Output 11 4" xfId="1829" xr:uid="{00000000-0005-0000-0000-00003C260000}"/>
    <cellStyle name="Output 11 4 2" xfId="3306" xr:uid="{00000000-0005-0000-0000-00003D260000}"/>
    <cellStyle name="Output 11 4 2 2" xfId="6876" xr:uid="{00000000-0005-0000-0000-00003E260000}"/>
    <cellStyle name="Output 11 4 2 3" xfId="8844" xr:uid="{00000000-0005-0000-0000-00003F260000}"/>
    <cellStyle name="Output 11 4 2 4" xfId="10136" xr:uid="{00000000-0005-0000-0000-000040260000}"/>
    <cellStyle name="Output 11 4 3" xfId="5418" xr:uid="{00000000-0005-0000-0000-000041260000}"/>
    <cellStyle name="Output 11 4 4" xfId="4428" xr:uid="{00000000-0005-0000-0000-000042260000}"/>
    <cellStyle name="Output 11 4 5" xfId="11213" xr:uid="{00000000-0005-0000-0000-000043260000}"/>
    <cellStyle name="Output 11 5" xfId="2127" xr:uid="{00000000-0005-0000-0000-000044260000}"/>
    <cellStyle name="Output 11 5 2" xfId="3586" xr:uid="{00000000-0005-0000-0000-000045260000}"/>
    <cellStyle name="Output 11 5 2 2" xfId="7156" xr:uid="{00000000-0005-0000-0000-000046260000}"/>
    <cellStyle name="Output 11 5 2 3" xfId="9121" xr:uid="{00000000-0005-0000-0000-000047260000}"/>
    <cellStyle name="Output 11 5 2 4" xfId="10413" xr:uid="{00000000-0005-0000-0000-000048260000}"/>
    <cellStyle name="Output 11 5 3" xfId="5715" xr:uid="{00000000-0005-0000-0000-000049260000}"/>
    <cellStyle name="Output 11 5 4" xfId="4461" xr:uid="{00000000-0005-0000-0000-00004A260000}"/>
    <cellStyle name="Output 11 5 5" xfId="11493" xr:uid="{00000000-0005-0000-0000-00004B260000}"/>
    <cellStyle name="Output 11 6" xfId="2619" xr:uid="{00000000-0005-0000-0000-00004C260000}"/>
    <cellStyle name="Output 11 6 2" xfId="6207" xr:uid="{00000000-0005-0000-0000-00004D260000}"/>
    <cellStyle name="Output 11 6 3" xfId="8231" xr:uid="{00000000-0005-0000-0000-00004E260000}"/>
    <cellStyle name="Output 11 6 4" xfId="9581" xr:uid="{00000000-0005-0000-0000-00004F260000}"/>
    <cellStyle name="Output 11 7" xfId="4605" xr:uid="{00000000-0005-0000-0000-000050260000}"/>
    <cellStyle name="Output 11 8" xfId="4270" xr:uid="{00000000-0005-0000-0000-000051260000}"/>
    <cellStyle name="Output 11 9" xfId="6715" xr:uid="{00000000-0005-0000-0000-000052260000}"/>
    <cellStyle name="Output 12" xfId="990" xr:uid="{00000000-0005-0000-0000-000053260000}"/>
    <cellStyle name="Output 12 2" xfId="1234" xr:uid="{00000000-0005-0000-0000-000054260000}"/>
    <cellStyle name="Output 12 2 10" xfId="2477" xr:uid="{00000000-0005-0000-0000-000055260000}"/>
    <cellStyle name="Output 12 2 10 2" xfId="3932" xr:uid="{00000000-0005-0000-0000-000056260000}"/>
    <cellStyle name="Output 12 2 10 2 2" xfId="7502" xr:uid="{00000000-0005-0000-0000-000057260000}"/>
    <cellStyle name="Output 12 2 10 2 3" xfId="9462" xr:uid="{00000000-0005-0000-0000-000058260000}"/>
    <cellStyle name="Output 12 2 10 2 4" xfId="10759" xr:uid="{00000000-0005-0000-0000-000059260000}"/>
    <cellStyle name="Output 12 2 10 3" xfId="6065" xr:uid="{00000000-0005-0000-0000-00005A260000}"/>
    <cellStyle name="Output 12 2 10 4" xfId="4899" xr:uid="{00000000-0005-0000-0000-00005B260000}"/>
    <cellStyle name="Output 12 2 10 5" xfId="11841" xr:uid="{00000000-0005-0000-0000-00005C260000}"/>
    <cellStyle name="Output 12 2 11" xfId="2530" xr:uid="{00000000-0005-0000-0000-00005D260000}"/>
    <cellStyle name="Output 12 2 11 2" xfId="3985" xr:uid="{00000000-0005-0000-0000-00005E260000}"/>
    <cellStyle name="Output 12 2 11 2 2" xfId="7555" xr:uid="{00000000-0005-0000-0000-00005F260000}"/>
    <cellStyle name="Output 12 2 11 2 3" xfId="9515" xr:uid="{00000000-0005-0000-0000-000060260000}"/>
    <cellStyle name="Output 12 2 11 2 4" xfId="10812" xr:uid="{00000000-0005-0000-0000-000061260000}"/>
    <cellStyle name="Output 12 2 11 3" xfId="6118" xr:uid="{00000000-0005-0000-0000-000062260000}"/>
    <cellStyle name="Output 12 2 11 4" xfId="6223" xr:uid="{00000000-0005-0000-0000-000063260000}"/>
    <cellStyle name="Output 12 2 11 5" xfId="11894" xr:uid="{00000000-0005-0000-0000-000064260000}"/>
    <cellStyle name="Output 12 2 12" xfId="2739" xr:uid="{00000000-0005-0000-0000-000065260000}"/>
    <cellStyle name="Output 12 2 12 2" xfId="6322" xr:uid="{00000000-0005-0000-0000-000066260000}"/>
    <cellStyle name="Output 12 2 12 3" xfId="8334" xr:uid="{00000000-0005-0000-0000-000067260000}"/>
    <cellStyle name="Output 12 2 12 4" xfId="9671" xr:uid="{00000000-0005-0000-0000-000068260000}"/>
    <cellStyle name="Output 12 2 13" xfId="4833" xr:uid="{00000000-0005-0000-0000-000069260000}"/>
    <cellStyle name="Output 12 2 14" xfId="4131" xr:uid="{00000000-0005-0000-0000-00006A260000}"/>
    <cellStyle name="Output 12 2 15" xfId="8091" xr:uid="{00000000-0005-0000-0000-00006B260000}"/>
    <cellStyle name="Output 12 2 2" xfId="1775" xr:uid="{00000000-0005-0000-0000-00006C260000}"/>
    <cellStyle name="Output 12 2 2 2" xfId="3252" xr:uid="{00000000-0005-0000-0000-00006D260000}"/>
    <cellStyle name="Output 12 2 2 2 2" xfId="6825" xr:uid="{00000000-0005-0000-0000-00006E260000}"/>
    <cellStyle name="Output 12 2 2 2 3" xfId="8801" xr:uid="{00000000-0005-0000-0000-00006F260000}"/>
    <cellStyle name="Output 12 2 2 2 4" xfId="10102" xr:uid="{00000000-0005-0000-0000-000070260000}"/>
    <cellStyle name="Output 12 2 2 3" xfId="5367" xr:uid="{00000000-0005-0000-0000-000071260000}"/>
    <cellStyle name="Output 12 2 2 4" xfId="4192" xr:uid="{00000000-0005-0000-0000-000072260000}"/>
    <cellStyle name="Output 12 2 2 5" xfId="11179" xr:uid="{00000000-0005-0000-0000-000073260000}"/>
    <cellStyle name="Output 12 2 3" xfId="1941" xr:uid="{00000000-0005-0000-0000-000074260000}"/>
    <cellStyle name="Output 12 2 3 2" xfId="3405" xr:uid="{00000000-0005-0000-0000-000075260000}"/>
    <cellStyle name="Output 12 2 3 2 2" xfId="6975" xr:uid="{00000000-0005-0000-0000-000076260000}"/>
    <cellStyle name="Output 12 2 3 2 3" xfId="8941" xr:uid="{00000000-0005-0000-0000-000077260000}"/>
    <cellStyle name="Output 12 2 3 2 4" xfId="10232" xr:uid="{00000000-0005-0000-0000-000078260000}"/>
    <cellStyle name="Output 12 2 3 3" xfId="5529" xr:uid="{00000000-0005-0000-0000-000079260000}"/>
    <cellStyle name="Output 12 2 3 4" xfId="4056" xr:uid="{00000000-0005-0000-0000-00007A260000}"/>
    <cellStyle name="Output 12 2 3 5" xfId="11310" xr:uid="{00000000-0005-0000-0000-00007B260000}"/>
    <cellStyle name="Output 12 2 4" xfId="2011" xr:uid="{00000000-0005-0000-0000-00007C260000}"/>
    <cellStyle name="Output 12 2 4 2" xfId="3474" xr:uid="{00000000-0005-0000-0000-00007D260000}"/>
    <cellStyle name="Output 12 2 4 2 2" xfId="7044" xr:uid="{00000000-0005-0000-0000-00007E260000}"/>
    <cellStyle name="Output 12 2 4 2 3" xfId="9010" xr:uid="{00000000-0005-0000-0000-00007F260000}"/>
    <cellStyle name="Output 12 2 4 2 4" xfId="10301" xr:uid="{00000000-0005-0000-0000-000080260000}"/>
    <cellStyle name="Output 12 2 4 3" xfId="5599" xr:uid="{00000000-0005-0000-0000-000081260000}"/>
    <cellStyle name="Output 12 2 4 4" xfId="8067" xr:uid="{00000000-0005-0000-0000-000082260000}"/>
    <cellStyle name="Output 12 2 4 5" xfId="11379" xr:uid="{00000000-0005-0000-0000-000083260000}"/>
    <cellStyle name="Output 12 2 5" xfId="2079" xr:uid="{00000000-0005-0000-0000-000084260000}"/>
    <cellStyle name="Output 12 2 5 2" xfId="3539" xr:uid="{00000000-0005-0000-0000-000085260000}"/>
    <cellStyle name="Output 12 2 5 2 2" xfId="7109" xr:uid="{00000000-0005-0000-0000-000086260000}"/>
    <cellStyle name="Output 12 2 5 2 3" xfId="9075" xr:uid="{00000000-0005-0000-0000-000087260000}"/>
    <cellStyle name="Output 12 2 5 2 4" xfId="10366" xr:uid="{00000000-0005-0000-0000-000088260000}"/>
    <cellStyle name="Output 12 2 5 3" xfId="5667" xr:uid="{00000000-0005-0000-0000-000089260000}"/>
    <cellStyle name="Output 12 2 5 4" xfId="7660" xr:uid="{00000000-0005-0000-0000-00008A260000}"/>
    <cellStyle name="Output 12 2 5 5" xfId="11446" xr:uid="{00000000-0005-0000-0000-00008B260000}"/>
    <cellStyle name="Output 12 2 6" xfId="2147" xr:uid="{00000000-0005-0000-0000-00008C260000}"/>
    <cellStyle name="Output 12 2 6 2" xfId="3606" xr:uid="{00000000-0005-0000-0000-00008D260000}"/>
    <cellStyle name="Output 12 2 6 2 2" xfId="7176" xr:uid="{00000000-0005-0000-0000-00008E260000}"/>
    <cellStyle name="Output 12 2 6 2 3" xfId="9141" xr:uid="{00000000-0005-0000-0000-00008F260000}"/>
    <cellStyle name="Output 12 2 6 2 4" xfId="10433" xr:uid="{00000000-0005-0000-0000-000090260000}"/>
    <cellStyle name="Output 12 2 6 3" xfId="5735" xr:uid="{00000000-0005-0000-0000-000091260000}"/>
    <cellStyle name="Output 12 2 6 4" xfId="4502" xr:uid="{00000000-0005-0000-0000-000092260000}"/>
    <cellStyle name="Output 12 2 6 5" xfId="11513" xr:uid="{00000000-0005-0000-0000-000093260000}"/>
    <cellStyle name="Output 12 2 7" xfId="2219" xr:uid="{00000000-0005-0000-0000-000094260000}"/>
    <cellStyle name="Output 12 2 7 2" xfId="3678" xr:uid="{00000000-0005-0000-0000-000095260000}"/>
    <cellStyle name="Output 12 2 7 2 2" xfId="7248" xr:uid="{00000000-0005-0000-0000-000096260000}"/>
    <cellStyle name="Output 12 2 7 2 3" xfId="9213" xr:uid="{00000000-0005-0000-0000-000097260000}"/>
    <cellStyle name="Output 12 2 7 2 4" xfId="10505" xr:uid="{00000000-0005-0000-0000-000098260000}"/>
    <cellStyle name="Output 12 2 7 3" xfId="5807" xr:uid="{00000000-0005-0000-0000-000099260000}"/>
    <cellStyle name="Output 12 2 7 4" xfId="4518" xr:uid="{00000000-0005-0000-0000-00009A260000}"/>
    <cellStyle name="Output 12 2 7 5" xfId="11585" xr:uid="{00000000-0005-0000-0000-00009B260000}"/>
    <cellStyle name="Output 12 2 8" xfId="2316" xr:uid="{00000000-0005-0000-0000-00009C260000}"/>
    <cellStyle name="Output 12 2 8 2" xfId="3773" xr:uid="{00000000-0005-0000-0000-00009D260000}"/>
    <cellStyle name="Output 12 2 8 2 2" xfId="7343" xr:uid="{00000000-0005-0000-0000-00009E260000}"/>
    <cellStyle name="Output 12 2 8 2 3" xfId="9306" xr:uid="{00000000-0005-0000-0000-00009F260000}"/>
    <cellStyle name="Output 12 2 8 2 4" xfId="10600" xr:uid="{00000000-0005-0000-0000-0000A0260000}"/>
    <cellStyle name="Output 12 2 8 3" xfId="5904" xr:uid="{00000000-0005-0000-0000-0000A1260000}"/>
    <cellStyle name="Output 12 2 8 4" xfId="4803" xr:uid="{00000000-0005-0000-0000-0000A2260000}"/>
    <cellStyle name="Output 12 2 8 5" xfId="11681" xr:uid="{00000000-0005-0000-0000-0000A3260000}"/>
    <cellStyle name="Output 12 2 9" xfId="2408" xr:uid="{00000000-0005-0000-0000-0000A4260000}"/>
    <cellStyle name="Output 12 2 9 2" xfId="3864" xr:uid="{00000000-0005-0000-0000-0000A5260000}"/>
    <cellStyle name="Output 12 2 9 2 2" xfId="7434" xr:uid="{00000000-0005-0000-0000-0000A6260000}"/>
    <cellStyle name="Output 12 2 9 2 3" xfId="9396" xr:uid="{00000000-0005-0000-0000-0000A7260000}"/>
    <cellStyle name="Output 12 2 9 2 4" xfId="10691" xr:uid="{00000000-0005-0000-0000-0000A8260000}"/>
    <cellStyle name="Output 12 2 9 3" xfId="5996" xr:uid="{00000000-0005-0000-0000-0000A9260000}"/>
    <cellStyle name="Output 12 2 9 4" xfId="4690" xr:uid="{00000000-0005-0000-0000-0000AA260000}"/>
    <cellStyle name="Output 12 2 9 5" xfId="11772" xr:uid="{00000000-0005-0000-0000-0000AB260000}"/>
    <cellStyle name="Output 12 3" xfId="1595" xr:uid="{00000000-0005-0000-0000-0000AC260000}"/>
    <cellStyle name="Output 12 3 2" xfId="3078" xr:uid="{00000000-0005-0000-0000-0000AD260000}"/>
    <cellStyle name="Output 12 3 2 2" xfId="6655" xr:uid="{00000000-0005-0000-0000-0000AE260000}"/>
    <cellStyle name="Output 12 3 2 3" xfId="8643" xr:uid="{00000000-0005-0000-0000-0000AF260000}"/>
    <cellStyle name="Output 12 3 2 4" xfId="9959" xr:uid="{00000000-0005-0000-0000-0000B0260000}"/>
    <cellStyle name="Output 12 3 3" xfId="5192" xr:uid="{00000000-0005-0000-0000-0000B1260000}"/>
    <cellStyle name="Output 12 3 4" xfId="9258" xr:uid="{00000000-0005-0000-0000-0000B2260000}"/>
    <cellStyle name="Output 12 3 5" xfId="11041" xr:uid="{00000000-0005-0000-0000-0000B3260000}"/>
    <cellStyle name="Output 12 4" xfId="1363" xr:uid="{00000000-0005-0000-0000-0000B4260000}"/>
    <cellStyle name="Output 12 4 2" xfId="2859" xr:uid="{00000000-0005-0000-0000-0000B5260000}"/>
    <cellStyle name="Output 12 4 2 2" xfId="6438" xr:uid="{00000000-0005-0000-0000-0000B6260000}"/>
    <cellStyle name="Output 12 4 2 3" xfId="8439" xr:uid="{00000000-0005-0000-0000-0000B7260000}"/>
    <cellStyle name="Output 12 4 2 4" xfId="9764" xr:uid="{00000000-0005-0000-0000-0000B8260000}"/>
    <cellStyle name="Output 12 4 3" xfId="4961" xr:uid="{00000000-0005-0000-0000-0000B9260000}"/>
    <cellStyle name="Output 12 4 4" xfId="9353" xr:uid="{00000000-0005-0000-0000-0000BA260000}"/>
    <cellStyle name="Output 12 4 5" xfId="10846" xr:uid="{00000000-0005-0000-0000-0000BB260000}"/>
    <cellStyle name="Output 12 5" xfId="2031" xr:uid="{00000000-0005-0000-0000-0000BC260000}"/>
    <cellStyle name="Output 12 5 2" xfId="3492" xr:uid="{00000000-0005-0000-0000-0000BD260000}"/>
    <cellStyle name="Output 12 5 2 2" xfId="7062" xr:uid="{00000000-0005-0000-0000-0000BE260000}"/>
    <cellStyle name="Output 12 5 2 3" xfId="9028" xr:uid="{00000000-0005-0000-0000-0000BF260000}"/>
    <cellStyle name="Output 12 5 2 4" xfId="10319" xr:uid="{00000000-0005-0000-0000-0000C0260000}"/>
    <cellStyle name="Output 12 5 3" xfId="5619" xr:uid="{00000000-0005-0000-0000-0000C1260000}"/>
    <cellStyle name="Output 12 5 4" xfId="7787" xr:uid="{00000000-0005-0000-0000-0000C2260000}"/>
    <cellStyle name="Output 12 5 5" xfId="11398" xr:uid="{00000000-0005-0000-0000-0000C3260000}"/>
    <cellStyle name="Output 12 6" xfId="2620" xr:uid="{00000000-0005-0000-0000-0000C4260000}"/>
    <cellStyle name="Output 12 6 2" xfId="6208" xr:uid="{00000000-0005-0000-0000-0000C5260000}"/>
    <cellStyle name="Output 12 6 3" xfId="8232" xr:uid="{00000000-0005-0000-0000-0000C6260000}"/>
    <cellStyle name="Output 12 6 4" xfId="9582" xr:uid="{00000000-0005-0000-0000-0000C7260000}"/>
    <cellStyle name="Output 12 7" xfId="4606" xr:uid="{00000000-0005-0000-0000-0000C8260000}"/>
    <cellStyle name="Output 12 8" xfId="4269" xr:uid="{00000000-0005-0000-0000-0000C9260000}"/>
    <cellStyle name="Output 12 9" xfId="7896" xr:uid="{00000000-0005-0000-0000-0000CA260000}"/>
    <cellStyle name="Output 13" xfId="991" xr:uid="{00000000-0005-0000-0000-0000CB260000}"/>
    <cellStyle name="Output 13 2" xfId="1235" xr:uid="{00000000-0005-0000-0000-0000CC260000}"/>
    <cellStyle name="Output 13 2 10" xfId="2478" xr:uid="{00000000-0005-0000-0000-0000CD260000}"/>
    <cellStyle name="Output 13 2 10 2" xfId="3933" xr:uid="{00000000-0005-0000-0000-0000CE260000}"/>
    <cellStyle name="Output 13 2 10 2 2" xfId="7503" xr:uid="{00000000-0005-0000-0000-0000CF260000}"/>
    <cellStyle name="Output 13 2 10 2 3" xfId="9463" xr:uid="{00000000-0005-0000-0000-0000D0260000}"/>
    <cellStyle name="Output 13 2 10 2 4" xfId="10760" xr:uid="{00000000-0005-0000-0000-0000D1260000}"/>
    <cellStyle name="Output 13 2 10 3" xfId="6066" xr:uid="{00000000-0005-0000-0000-0000D2260000}"/>
    <cellStyle name="Output 13 2 10 4" xfId="6380" xr:uid="{00000000-0005-0000-0000-0000D3260000}"/>
    <cellStyle name="Output 13 2 10 5" xfId="11842" xr:uid="{00000000-0005-0000-0000-0000D4260000}"/>
    <cellStyle name="Output 13 2 11" xfId="2531" xr:uid="{00000000-0005-0000-0000-0000D5260000}"/>
    <cellStyle name="Output 13 2 11 2" xfId="3986" xr:uid="{00000000-0005-0000-0000-0000D6260000}"/>
    <cellStyle name="Output 13 2 11 2 2" xfId="7556" xr:uid="{00000000-0005-0000-0000-0000D7260000}"/>
    <cellStyle name="Output 13 2 11 2 3" xfId="9516" xr:uid="{00000000-0005-0000-0000-0000D8260000}"/>
    <cellStyle name="Output 13 2 11 2 4" xfId="10813" xr:uid="{00000000-0005-0000-0000-0000D9260000}"/>
    <cellStyle name="Output 13 2 11 3" xfId="6119" xr:uid="{00000000-0005-0000-0000-0000DA260000}"/>
    <cellStyle name="Output 13 2 11 4" xfId="4649" xr:uid="{00000000-0005-0000-0000-0000DB260000}"/>
    <cellStyle name="Output 13 2 11 5" xfId="11895" xr:uid="{00000000-0005-0000-0000-0000DC260000}"/>
    <cellStyle name="Output 13 2 12" xfId="2740" xr:uid="{00000000-0005-0000-0000-0000DD260000}"/>
    <cellStyle name="Output 13 2 12 2" xfId="6323" xr:uid="{00000000-0005-0000-0000-0000DE260000}"/>
    <cellStyle name="Output 13 2 12 3" xfId="8335" xr:uid="{00000000-0005-0000-0000-0000DF260000}"/>
    <cellStyle name="Output 13 2 12 4" xfId="9672" xr:uid="{00000000-0005-0000-0000-0000E0260000}"/>
    <cellStyle name="Output 13 2 13" xfId="4834" xr:uid="{00000000-0005-0000-0000-0000E1260000}"/>
    <cellStyle name="Output 13 2 14" xfId="4130" xr:uid="{00000000-0005-0000-0000-0000E2260000}"/>
    <cellStyle name="Output 13 2 15" xfId="8049" xr:uid="{00000000-0005-0000-0000-0000E3260000}"/>
    <cellStyle name="Output 13 2 2" xfId="1776" xr:uid="{00000000-0005-0000-0000-0000E4260000}"/>
    <cellStyle name="Output 13 2 2 2" xfId="3253" xr:uid="{00000000-0005-0000-0000-0000E5260000}"/>
    <cellStyle name="Output 13 2 2 2 2" xfId="6826" xr:uid="{00000000-0005-0000-0000-0000E6260000}"/>
    <cellStyle name="Output 13 2 2 2 3" xfId="8802" xr:uid="{00000000-0005-0000-0000-0000E7260000}"/>
    <cellStyle name="Output 13 2 2 2 4" xfId="10103" xr:uid="{00000000-0005-0000-0000-0000E8260000}"/>
    <cellStyle name="Output 13 2 2 3" xfId="5368" xr:uid="{00000000-0005-0000-0000-0000E9260000}"/>
    <cellStyle name="Output 13 2 2 4" xfId="5469" xr:uid="{00000000-0005-0000-0000-0000EA260000}"/>
    <cellStyle name="Output 13 2 2 5" xfId="11180" xr:uid="{00000000-0005-0000-0000-0000EB260000}"/>
    <cellStyle name="Output 13 2 3" xfId="1942" xr:uid="{00000000-0005-0000-0000-0000EC260000}"/>
    <cellStyle name="Output 13 2 3 2" xfId="3406" xr:uid="{00000000-0005-0000-0000-0000ED260000}"/>
    <cellStyle name="Output 13 2 3 2 2" xfId="6976" xr:uid="{00000000-0005-0000-0000-0000EE260000}"/>
    <cellStyle name="Output 13 2 3 2 3" xfId="8942" xr:uid="{00000000-0005-0000-0000-0000EF260000}"/>
    <cellStyle name="Output 13 2 3 2 4" xfId="10233" xr:uid="{00000000-0005-0000-0000-0000F0260000}"/>
    <cellStyle name="Output 13 2 3 3" xfId="5530" xr:uid="{00000000-0005-0000-0000-0000F1260000}"/>
    <cellStyle name="Output 13 2 3 4" xfId="7866" xr:uid="{00000000-0005-0000-0000-0000F2260000}"/>
    <cellStyle name="Output 13 2 3 5" xfId="11311" xr:uid="{00000000-0005-0000-0000-0000F3260000}"/>
    <cellStyle name="Output 13 2 4" xfId="2012" xr:uid="{00000000-0005-0000-0000-0000F4260000}"/>
    <cellStyle name="Output 13 2 4 2" xfId="3475" xr:uid="{00000000-0005-0000-0000-0000F5260000}"/>
    <cellStyle name="Output 13 2 4 2 2" xfId="7045" xr:uid="{00000000-0005-0000-0000-0000F6260000}"/>
    <cellStyle name="Output 13 2 4 2 3" xfId="9011" xr:uid="{00000000-0005-0000-0000-0000F7260000}"/>
    <cellStyle name="Output 13 2 4 2 4" xfId="10302" xr:uid="{00000000-0005-0000-0000-0000F8260000}"/>
    <cellStyle name="Output 13 2 4 3" xfId="5600" xr:uid="{00000000-0005-0000-0000-0000F9260000}"/>
    <cellStyle name="Output 13 2 4 4" xfId="8023" xr:uid="{00000000-0005-0000-0000-0000FA260000}"/>
    <cellStyle name="Output 13 2 4 5" xfId="11380" xr:uid="{00000000-0005-0000-0000-0000FB260000}"/>
    <cellStyle name="Output 13 2 5" xfId="2080" xr:uid="{00000000-0005-0000-0000-0000FC260000}"/>
    <cellStyle name="Output 13 2 5 2" xfId="3540" xr:uid="{00000000-0005-0000-0000-0000FD260000}"/>
    <cellStyle name="Output 13 2 5 2 2" xfId="7110" xr:uid="{00000000-0005-0000-0000-0000FE260000}"/>
    <cellStyle name="Output 13 2 5 2 3" xfId="9076" xr:uid="{00000000-0005-0000-0000-0000FF260000}"/>
    <cellStyle name="Output 13 2 5 2 4" xfId="10367" xr:uid="{00000000-0005-0000-0000-000000270000}"/>
    <cellStyle name="Output 13 2 5 3" xfId="5668" xr:uid="{00000000-0005-0000-0000-000001270000}"/>
    <cellStyle name="Output 13 2 5 4" xfId="4081" xr:uid="{00000000-0005-0000-0000-000002270000}"/>
    <cellStyle name="Output 13 2 5 5" xfId="11447" xr:uid="{00000000-0005-0000-0000-000003270000}"/>
    <cellStyle name="Output 13 2 6" xfId="2148" xr:uid="{00000000-0005-0000-0000-000004270000}"/>
    <cellStyle name="Output 13 2 6 2" xfId="3607" xr:uid="{00000000-0005-0000-0000-000005270000}"/>
    <cellStyle name="Output 13 2 6 2 2" xfId="7177" xr:uid="{00000000-0005-0000-0000-000006270000}"/>
    <cellStyle name="Output 13 2 6 2 3" xfId="9142" xr:uid="{00000000-0005-0000-0000-000007270000}"/>
    <cellStyle name="Output 13 2 6 2 4" xfId="10434" xr:uid="{00000000-0005-0000-0000-000008270000}"/>
    <cellStyle name="Output 13 2 6 3" xfId="5736" xr:uid="{00000000-0005-0000-0000-000009270000}"/>
    <cellStyle name="Output 13 2 6 4" xfId="5133" xr:uid="{00000000-0005-0000-0000-00000A270000}"/>
    <cellStyle name="Output 13 2 6 5" xfId="11514" xr:uid="{00000000-0005-0000-0000-00000B270000}"/>
    <cellStyle name="Output 13 2 7" xfId="2220" xr:uid="{00000000-0005-0000-0000-00000C270000}"/>
    <cellStyle name="Output 13 2 7 2" xfId="3679" xr:uid="{00000000-0005-0000-0000-00000D270000}"/>
    <cellStyle name="Output 13 2 7 2 2" xfId="7249" xr:uid="{00000000-0005-0000-0000-00000E270000}"/>
    <cellStyle name="Output 13 2 7 2 3" xfId="9214" xr:uid="{00000000-0005-0000-0000-00000F270000}"/>
    <cellStyle name="Output 13 2 7 2 4" xfId="10506" xr:uid="{00000000-0005-0000-0000-000010270000}"/>
    <cellStyle name="Output 13 2 7 3" xfId="5808" xr:uid="{00000000-0005-0000-0000-000011270000}"/>
    <cellStyle name="Output 13 2 7 4" xfId="5149" xr:uid="{00000000-0005-0000-0000-000012270000}"/>
    <cellStyle name="Output 13 2 7 5" xfId="11586" xr:uid="{00000000-0005-0000-0000-000013270000}"/>
    <cellStyle name="Output 13 2 8" xfId="2317" xr:uid="{00000000-0005-0000-0000-000014270000}"/>
    <cellStyle name="Output 13 2 8 2" xfId="3774" xr:uid="{00000000-0005-0000-0000-000015270000}"/>
    <cellStyle name="Output 13 2 8 2 2" xfId="7344" xr:uid="{00000000-0005-0000-0000-000016270000}"/>
    <cellStyle name="Output 13 2 8 2 3" xfId="9307" xr:uid="{00000000-0005-0000-0000-000017270000}"/>
    <cellStyle name="Output 13 2 8 2 4" xfId="10601" xr:uid="{00000000-0005-0000-0000-000018270000}"/>
    <cellStyle name="Output 13 2 8 3" xfId="5905" xr:uid="{00000000-0005-0000-0000-000019270000}"/>
    <cellStyle name="Output 13 2 8 4" xfId="4733" xr:uid="{00000000-0005-0000-0000-00001A270000}"/>
    <cellStyle name="Output 13 2 8 5" xfId="11682" xr:uid="{00000000-0005-0000-0000-00001B270000}"/>
    <cellStyle name="Output 13 2 9" xfId="2409" xr:uid="{00000000-0005-0000-0000-00001C270000}"/>
    <cellStyle name="Output 13 2 9 2" xfId="3865" xr:uid="{00000000-0005-0000-0000-00001D270000}"/>
    <cellStyle name="Output 13 2 9 2 2" xfId="7435" xr:uid="{00000000-0005-0000-0000-00001E270000}"/>
    <cellStyle name="Output 13 2 9 2 3" xfId="9397" xr:uid="{00000000-0005-0000-0000-00001F270000}"/>
    <cellStyle name="Output 13 2 9 2 4" xfId="10692" xr:uid="{00000000-0005-0000-0000-000020270000}"/>
    <cellStyle name="Output 13 2 9 3" xfId="5997" xr:uid="{00000000-0005-0000-0000-000021270000}"/>
    <cellStyle name="Output 13 2 9 4" xfId="6853" xr:uid="{00000000-0005-0000-0000-000022270000}"/>
    <cellStyle name="Output 13 2 9 5" xfId="11773" xr:uid="{00000000-0005-0000-0000-000023270000}"/>
    <cellStyle name="Output 13 3" xfId="1596" xr:uid="{00000000-0005-0000-0000-000024270000}"/>
    <cellStyle name="Output 13 3 2" xfId="3079" xr:uid="{00000000-0005-0000-0000-000025270000}"/>
    <cellStyle name="Output 13 3 2 2" xfId="6656" xr:uid="{00000000-0005-0000-0000-000026270000}"/>
    <cellStyle name="Output 13 3 2 3" xfId="8644" xr:uid="{00000000-0005-0000-0000-000027270000}"/>
    <cellStyle name="Output 13 3 2 4" xfId="9960" xr:uid="{00000000-0005-0000-0000-000028270000}"/>
    <cellStyle name="Output 13 3 3" xfId="5193" xr:uid="{00000000-0005-0000-0000-000029270000}"/>
    <cellStyle name="Output 13 3 4" xfId="8035" xr:uid="{00000000-0005-0000-0000-00002A270000}"/>
    <cellStyle name="Output 13 3 5" xfId="11042" xr:uid="{00000000-0005-0000-0000-00002B270000}"/>
    <cellStyle name="Output 13 4" xfId="1362" xr:uid="{00000000-0005-0000-0000-00002C270000}"/>
    <cellStyle name="Output 13 4 2" xfId="2858" xr:uid="{00000000-0005-0000-0000-00002D270000}"/>
    <cellStyle name="Output 13 4 2 2" xfId="6437" xr:uid="{00000000-0005-0000-0000-00002E270000}"/>
    <cellStyle name="Output 13 4 2 3" xfId="8438" xr:uid="{00000000-0005-0000-0000-00002F270000}"/>
    <cellStyle name="Output 13 4 2 4" xfId="9763" xr:uid="{00000000-0005-0000-0000-000030270000}"/>
    <cellStyle name="Output 13 4 3" xfId="4960" xr:uid="{00000000-0005-0000-0000-000031270000}"/>
    <cellStyle name="Output 13 4 4" xfId="7630" xr:uid="{00000000-0005-0000-0000-000032270000}"/>
    <cellStyle name="Output 13 4 5" xfId="10845" xr:uid="{00000000-0005-0000-0000-000033270000}"/>
    <cellStyle name="Output 13 5" xfId="2162" xr:uid="{00000000-0005-0000-0000-000034270000}"/>
    <cellStyle name="Output 13 5 2" xfId="3621" xr:uid="{00000000-0005-0000-0000-000035270000}"/>
    <cellStyle name="Output 13 5 2 2" xfId="7191" xr:uid="{00000000-0005-0000-0000-000036270000}"/>
    <cellStyle name="Output 13 5 2 3" xfId="9156" xr:uid="{00000000-0005-0000-0000-000037270000}"/>
    <cellStyle name="Output 13 5 2 4" xfId="10448" xr:uid="{00000000-0005-0000-0000-000038270000}"/>
    <cellStyle name="Output 13 5 3" xfId="5750" xr:uid="{00000000-0005-0000-0000-000039270000}"/>
    <cellStyle name="Output 13 5 4" xfId="6600" xr:uid="{00000000-0005-0000-0000-00003A270000}"/>
    <cellStyle name="Output 13 5 5" xfId="11528" xr:uid="{00000000-0005-0000-0000-00003B270000}"/>
    <cellStyle name="Output 13 6" xfId="2621" xr:uid="{00000000-0005-0000-0000-00003C270000}"/>
    <cellStyle name="Output 13 6 2" xfId="6209" xr:uid="{00000000-0005-0000-0000-00003D270000}"/>
    <cellStyle name="Output 13 6 3" xfId="8233" xr:uid="{00000000-0005-0000-0000-00003E270000}"/>
    <cellStyle name="Output 13 6 4" xfId="9583" xr:uid="{00000000-0005-0000-0000-00003F270000}"/>
    <cellStyle name="Output 13 7" xfId="4607" xr:uid="{00000000-0005-0000-0000-000040270000}"/>
    <cellStyle name="Output 13 8" xfId="686" xr:uid="{00000000-0005-0000-0000-000041270000}"/>
    <cellStyle name="Output 13 9" xfId="8601" xr:uid="{00000000-0005-0000-0000-000042270000}"/>
    <cellStyle name="Output 14" xfId="992" xr:uid="{00000000-0005-0000-0000-000043270000}"/>
    <cellStyle name="Output 14 2" xfId="1236" xr:uid="{00000000-0005-0000-0000-000044270000}"/>
    <cellStyle name="Output 14 2 10" xfId="2479" xr:uid="{00000000-0005-0000-0000-000045270000}"/>
    <cellStyle name="Output 14 2 10 2" xfId="3934" xr:uid="{00000000-0005-0000-0000-000046270000}"/>
    <cellStyle name="Output 14 2 10 2 2" xfId="7504" xr:uid="{00000000-0005-0000-0000-000047270000}"/>
    <cellStyle name="Output 14 2 10 2 3" xfId="9464" xr:uid="{00000000-0005-0000-0000-000048270000}"/>
    <cellStyle name="Output 14 2 10 2 4" xfId="10761" xr:uid="{00000000-0005-0000-0000-000049270000}"/>
    <cellStyle name="Output 14 2 10 3" xfId="6067" xr:uid="{00000000-0005-0000-0000-00004A270000}"/>
    <cellStyle name="Output 14 2 10 4" xfId="6141" xr:uid="{00000000-0005-0000-0000-00004B270000}"/>
    <cellStyle name="Output 14 2 10 5" xfId="11843" xr:uid="{00000000-0005-0000-0000-00004C270000}"/>
    <cellStyle name="Output 14 2 11" xfId="2532" xr:uid="{00000000-0005-0000-0000-00004D270000}"/>
    <cellStyle name="Output 14 2 11 2" xfId="3987" xr:uid="{00000000-0005-0000-0000-00004E270000}"/>
    <cellStyle name="Output 14 2 11 2 2" xfId="7557" xr:uid="{00000000-0005-0000-0000-00004F270000}"/>
    <cellStyle name="Output 14 2 11 2 3" xfId="9517" xr:uid="{00000000-0005-0000-0000-000050270000}"/>
    <cellStyle name="Output 14 2 11 2 4" xfId="10814" xr:uid="{00000000-0005-0000-0000-000051270000}"/>
    <cellStyle name="Output 14 2 11 3" xfId="6120" xr:uid="{00000000-0005-0000-0000-000052270000}"/>
    <cellStyle name="Output 14 2 11 4" xfId="4045" xr:uid="{00000000-0005-0000-0000-000053270000}"/>
    <cellStyle name="Output 14 2 11 5" xfId="11896" xr:uid="{00000000-0005-0000-0000-000054270000}"/>
    <cellStyle name="Output 14 2 12" xfId="2741" xr:uid="{00000000-0005-0000-0000-000055270000}"/>
    <cellStyle name="Output 14 2 12 2" xfId="6324" xr:uid="{00000000-0005-0000-0000-000056270000}"/>
    <cellStyle name="Output 14 2 12 3" xfId="8336" xr:uid="{00000000-0005-0000-0000-000057270000}"/>
    <cellStyle name="Output 14 2 12 4" xfId="9673" xr:uid="{00000000-0005-0000-0000-000058270000}"/>
    <cellStyle name="Output 14 2 13" xfId="4835" xr:uid="{00000000-0005-0000-0000-000059270000}"/>
    <cellStyle name="Output 14 2 14" xfId="4129" xr:uid="{00000000-0005-0000-0000-00005A270000}"/>
    <cellStyle name="Output 14 2 15" xfId="7994" xr:uid="{00000000-0005-0000-0000-00005B270000}"/>
    <cellStyle name="Output 14 2 2" xfId="1777" xr:uid="{00000000-0005-0000-0000-00005C270000}"/>
    <cellStyle name="Output 14 2 2 2" xfId="3254" xr:uid="{00000000-0005-0000-0000-00005D270000}"/>
    <cellStyle name="Output 14 2 2 2 2" xfId="6827" xr:uid="{00000000-0005-0000-0000-00005E270000}"/>
    <cellStyle name="Output 14 2 2 2 3" xfId="8803" xr:uid="{00000000-0005-0000-0000-00005F270000}"/>
    <cellStyle name="Output 14 2 2 2 4" xfId="10104" xr:uid="{00000000-0005-0000-0000-000060270000}"/>
    <cellStyle name="Output 14 2 2 3" xfId="5369" xr:uid="{00000000-0005-0000-0000-000061270000}"/>
    <cellStyle name="Output 14 2 2 4" xfId="4900" xr:uid="{00000000-0005-0000-0000-000062270000}"/>
    <cellStyle name="Output 14 2 2 5" xfId="11181" xr:uid="{00000000-0005-0000-0000-000063270000}"/>
    <cellStyle name="Output 14 2 3" xfId="1943" xr:uid="{00000000-0005-0000-0000-000064270000}"/>
    <cellStyle name="Output 14 2 3 2" xfId="3407" xr:uid="{00000000-0005-0000-0000-000065270000}"/>
    <cellStyle name="Output 14 2 3 2 2" xfId="6977" xr:uid="{00000000-0005-0000-0000-000066270000}"/>
    <cellStyle name="Output 14 2 3 2 3" xfId="8943" xr:uid="{00000000-0005-0000-0000-000067270000}"/>
    <cellStyle name="Output 14 2 3 2 4" xfId="10234" xr:uid="{00000000-0005-0000-0000-000068270000}"/>
    <cellStyle name="Output 14 2 3 3" xfId="5531" xr:uid="{00000000-0005-0000-0000-000069270000}"/>
    <cellStyle name="Output 14 2 3 4" xfId="7674" xr:uid="{00000000-0005-0000-0000-00006A270000}"/>
    <cellStyle name="Output 14 2 3 5" xfId="11312" xr:uid="{00000000-0005-0000-0000-00006B270000}"/>
    <cellStyle name="Output 14 2 4" xfId="2013" xr:uid="{00000000-0005-0000-0000-00006C270000}"/>
    <cellStyle name="Output 14 2 4 2" xfId="3476" xr:uid="{00000000-0005-0000-0000-00006D270000}"/>
    <cellStyle name="Output 14 2 4 2 2" xfId="7046" xr:uid="{00000000-0005-0000-0000-00006E270000}"/>
    <cellStyle name="Output 14 2 4 2 3" xfId="9012" xr:uid="{00000000-0005-0000-0000-00006F270000}"/>
    <cellStyle name="Output 14 2 4 2 4" xfId="10303" xr:uid="{00000000-0005-0000-0000-000070270000}"/>
    <cellStyle name="Output 14 2 4 3" xfId="5601" xr:uid="{00000000-0005-0000-0000-000071270000}"/>
    <cellStyle name="Output 14 2 4 4" xfId="7739" xr:uid="{00000000-0005-0000-0000-000072270000}"/>
    <cellStyle name="Output 14 2 4 5" xfId="11381" xr:uid="{00000000-0005-0000-0000-000073270000}"/>
    <cellStyle name="Output 14 2 5" xfId="2081" xr:uid="{00000000-0005-0000-0000-000074270000}"/>
    <cellStyle name="Output 14 2 5 2" xfId="3541" xr:uid="{00000000-0005-0000-0000-000075270000}"/>
    <cellStyle name="Output 14 2 5 2 2" xfId="7111" xr:uid="{00000000-0005-0000-0000-000076270000}"/>
    <cellStyle name="Output 14 2 5 2 3" xfId="9077" xr:uid="{00000000-0005-0000-0000-000077270000}"/>
    <cellStyle name="Output 14 2 5 2 4" xfId="10368" xr:uid="{00000000-0005-0000-0000-000078270000}"/>
    <cellStyle name="Output 14 2 5 3" xfId="5669" xr:uid="{00000000-0005-0000-0000-000079270000}"/>
    <cellStyle name="Output 14 2 5 4" xfId="7719" xr:uid="{00000000-0005-0000-0000-00007A270000}"/>
    <cellStyle name="Output 14 2 5 5" xfId="11448" xr:uid="{00000000-0005-0000-0000-00007B270000}"/>
    <cellStyle name="Output 14 2 6" xfId="2149" xr:uid="{00000000-0005-0000-0000-00007C270000}"/>
    <cellStyle name="Output 14 2 6 2" xfId="3608" xr:uid="{00000000-0005-0000-0000-00007D270000}"/>
    <cellStyle name="Output 14 2 6 2 2" xfId="7178" xr:uid="{00000000-0005-0000-0000-00007E270000}"/>
    <cellStyle name="Output 14 2 6 2 3" xfId="9143" xr:uid="{00000000-0005-0000-0000-00007F270000}"/>
    <cellStyle name="Output 14 2 6 2 4" xfId="10435" xr:uid="{00000000-0005-0000-0000-000080270000}"/>
    <cellStyle name="Output 14 2 6 3" xfId="5737" xr:uid="{00000000-0005-0000-0000-000081270000}"/>
    <cellStyle name="Output 14 2 6 4" xfId="6597" xr:uid="{00000000-0005-0000-0000-000082270000}"/>
    <cellStyle name="Output 14 2 6 5" xfId="11515" xr:uid="{00000000-0005-0000-0000-000083270000}"/>
    <cellStyle name="Output 14 2 7" xfId="2221" xr:uid="{00000000-0005-0000-0000-000084270000}"/>
    <cellStyle name="Output 14 2 7 2" xfId="3680" xr:uid="{00000000-0005-0000-0000-000085270000}"/>
    <cellStyle name="Output 14 2 7 2 2" xfId="7250" xr:uid="{00000000-0005-0000-0000-000086270000}"/>
    <cellStyle name="Output 14 2 7 2 3" xfId="9215" xr:uid="{00000000-0005-0000-0000-000087270000}"/>
    <cellStyle name="Output 14 2 7 2 4" xfId="10507" xr:uid="{00000000-0005-0000-0000-000088270000}"/>
    <cellStyle name="Output 14 2 7 3" xfId="5809" xr:uid="{00000000-0005-0000-0000-000089270000}"/>
    <cellStyle name="Output 14 2 7 4" xfId="6613" xr:uid="{00000000-0005-0000-0000-00008A270000}"/>
    <cellStyle name="Output 14 2 7 5" xfId="11587" xr:uid="{00000000-0005-0000-0000-00008B270000}"/>
    <cellStyle name="Output 14 2 8" xfId="2318" xr:uid="{00000000-0005-0000-0000-00008C270000}"/>
    <cellStyle name="Output 14 2 8 2" xfId="3775" xr:uid="{00000000-0005-0000-0000-00008D270000}"/>
    <cellStyle name="Output 14 2 8 2 2" xfId="7345" xr:uid="{00000000-0005-0000-0000-00008E270000}"/>
    <cellStyle name="Output 14 2 8 2 3" xfId="9308" xr:uid="{00000000-0005-0000-0000-00008F270000}"/>
    <cellStyle name="Output 14 2 8 2 4" xfId="10602" xr:uid="{00000000-0005-0000-0000-000090270000}"/>
    <cellStyle name="Output 14 2 8 3" xfId="5906" xr:uid="{00000000-0005-0000-0000-000091270000}"/>
    <cellStyle name="Output 14 2 8 4" xfId="4685" xr:uid="{00000000-0005-0000-0000-000092270000}"/>
    <cellStyle name="Output 14 2 8 5" xfId="11683" xr:uid="{00000000-0005-0000-0000-000093270000}"/>
    <cellStyle name="Output 14 2 9" xfId="2410" xr:uid="{00000000-0005-0000-0000-000094270000}"/>
    <cellStyle name="Output 14 2 9 2" xfId="3866" xr:uid="{00000000-0005-0000-0000-000095270000}"/>
    <cellStyle name="Output 14 2 9 2 2" xfId="7436" xr:uid="{00000000-0005-0000-0000-000096270000}"/>
    <cellStyle name="Output 14 2 9 2 3" xfId="9398" xr:uid="{00000000-0005-0000-0000-000097270000}"/>
    <cellStyle name="Output 14 2 9 2 4" xfId="10693" xr:uid="{00000000-0005-0000-0000-000098270000}"/>
    <cellStyle name="Output 14 2 9 3" xfId="5998" xr:uid="{00000000-0005-0000-0000-000099270000}"/>
    <cellStyle name="Output 14 2 9 4" xfId="6348" xr:uid="{00000000-0005-0000-0000-00009A270000}"/>
    <cellStyle name="Output 14 2 9 5" xfId="11774" xr:uid="{00000000-0005-0000-0000-00009B270000}"/>
    <cellStyle name="Output 14 3" xfId="1597" xr:uid="{00000000-0005-0000-0000-00009C270000}"/>
    <cellStyle name="Output 14 3 2" xfId="3080" xr:uid="{00000000-0005-0000-0000-00009D270000}"/>
    <cellStyle name="Output 14 3 2 2" xfId="6657" xr:uid="{00000000-0005-0000-0000-00009E270000}"/>
    <cellStyle name="Output 14 3 2 3" xfId="8645" xr:uid="{00000000-0005-0000-0000-00009F270000}"/>
    <cellStyle name="Output 14 3 2 4" xfId="9961" xr:uid="{00000000-0005-0000-0000-0000A0270000}"/>
    <cellStyle name="Output 14 3 3" xfId="5194" xr:uid="{00000000-0005-0000-0000-0000A1270000}"/>
    <cellStyle name="Output 14 3 4" xfId="8412" xr:uid="{00000000-0005-0000-0000-0000A2270000}"/>
    <cellStyle name="Output 14 3 5" xfId="11043" xr:uid="{00000000-0005-0000-0000-0000A3270000}"/>
    <cellStyle name="Output 14 4" xfId="1962" xr:uid="{00000000-0005-0000-0000-0000A4270000}"/>
    <cellStyle name="Output 14 4 2" xfId="3425" xr:uid="{00000000-0005-0000-0000-0000A5270000}"/>
    <cellStyle name="Output 14 4 2 2" xfId="6995" xr:uid="{00000000-0005-0000-0000-0000A6270000}"/>
    <cellStyle name="Output 14 4 2 3" xfId="8961" xr:uid="{00000000-0005-0000-0000-0000A7270000}"/>
    <cellStyle name="Output 14 4 2 4" xfId="10252" xr:uid="{00000000-0005-0000-0000-0000A8270000}"/>
    <cellStyle name="Output 14 4 3" xfId="5550" xr:uid="{00000000-0005-0000-0000-0000A9270000}"/>
    <cellStyle name="Output 14 4 4" xfId="7667" xr:uid="{00000000-0005-0000-0000-0000AA270000}"/>
    <cellStyle name="Output 14 4 5" xfId="11330" xr:uid="{00000000-0005-0000-0000-0000AB270000}"/>
    <cellStyle name="Output 14 5" xfId="1749" xr:uid="{00000000-0005-0000-0000-0000AC270000}"/>
    <cellStyle name="Output 14 5 2" xfId="3226" xr:uid="{00000000-0005-0000-0000-0000AD270000}"/>
    <cellStyle name="Output 14 5 2 2" xfId="6799" xr:uid="{00000000-0005-0000-0000-0000AE270000}"/>
    <cellStyle name="Output 14 5 2 3" xfId="8777" xr:uid="{00000000-0005-0000-0000-0000AF270000}"/>
    <cellStyle name="Output 14 5 2 4" xfId="10079" xr:uid="{00000000-0005-0000-0000-0000B0270000}"/>
    <cellStyle name="Output 14 5 3" xfId="5341" xr:uid="{00000000-0005-0000-0000-0000B1270000}"/>
    <cellStyle name="Output 14 5 4" xfId="4708" xr:uid="{00000000-0005-0000-0000-0000B2270000}"/>
    <cellStyle name="Output 14 5 5" xfId="11156" xr:uid="{00000000-0005-0000-0000-0000B3270000}"/>
    <cellStyle name="Output 14 6" xfId="2622" xr:uid="{00000000-0005-0000-0000-0000B4270000}"/>
    <cellStyle name="Output 14 6 2" xfId="6210" xr:uid="{00000000-0005-0000-0000-0000B5270000}"/>
    <cellStyle name="Output 14 6 3" xfId="8234" xr:uid="{00000000-0005-0000-0000-0000B6270000}"/>
    <cellStyle name="Output 14 6 4" xfId="9584" xr:uid="{00000000-0005-0000-0000-0000B7270000}"/>
    <cellStyle name="Output 14 7" xfId="4608" xr:uid="{00000000-0005-0000-0000-0000B8270000}"/>
    <cellStyle name="Output 14 8" xfId="4268" xr:uid="{00000000-0005-0000-0000-0000B9270000}"/>
    <cellStyle name="Output 14 9" xfId="7704" xr:uid="{00000000-0005-0000-0000-0000BA270000}"/>
    <cellStyle name="Output 15" xfId="993" xr:uid="{00000000-0005-0000-0000-0000BB270000}"/>
    <cellStyle name="Output 15 2" xfId="1237" xr:uid="{00000000-0005-0000-0000-0000BC270000}"/>
    <cellStyle name="Output 15 2 10" xfId="2480" xr:uid="{00000000-0005-0000-0000-0000BD270000}"/>
    <cellStyle name="Output 15 2 10 2" xfId="3935" xr:uid="{00000000-0005-0000-0000-0000BE270000}"/>
    <cellStyle name="Output 15 2 10 2 2" xfId="7505" xr:uid="{00000000-0005-0000-0000-0000BF270000}"/>
    <cellStyle name="Output 15 2 10 2 3" xfId="9465" xr:uid="{00000000-0005-0000-0000-0000C0270000}"/>
    <cellStyle name="Output 15 2 10 2 4" xfId="10762" xr:uid="{00000000-0005-0000-0000-0000C1270000}"/>
    <cellStyle name="Output 15 2 10 3" xfId="6068" xr:uid="{00000000-0005-0000-0000-0000C2270000}"/>
    <cellStyle name="Output 15 2 10 4" xfId="4693" xr:uid="{00000000-0005-0000-0000-0000C3270000}"/>
    <cellStyle name="Output 15 2 10 5" xfId="11844" xr:uid="{00000000-0005-0000-0000-0000C4270000}"/>
    <cellStyle name="Output 15 2 11" xfId="2533" xr:uid="{00000000-0005-0000-0000-0000C5270000}"/>
    <cellStyle name="Output 15 2 11 2" xfId="3988" xr:uid="{00000000-0005-0000-0000-0000C6270000}"/>
    <cellStyle name="Output 15 2 11 2 2" xfId="7558" xr:uid="{00000000-0005-0000-0000-0000C7270000}"/>
    <cellStyle name="Output 15 2 11 2 3" xfId="9518" xr:uid="{00000000-0005-0000-0000-0000C8270000}"/>
    <cellStyle name="Output 15 2 11 2 4" xfId="10815" xr:uid="{00000000-0005-0000-0000-0000C9270000}"/>
    <cellStyle name="Output 15 2 11 3" xfId="6121" xr:uid="{00000000-0005-0000-0000-0000CA270000}"/>
    <cellStyle name="Output 15 2 11 4" xfId="4650" xr:uid="{00000000-0005-0000-0000-0000CB270000}"/>
    <cellStyle name="Output 15 2 11 5" xfId="11897" xr:uid="{00000000-0005-0000-0000-0000CC270000}"/>
    <cellStyle name="Output 15 2 12" xfId="2742" xr:uid="{00000000-0005-0000-0000-0000CD270000}"/>
    <cellStyle name="Output 15 2 12 2" xfId="6325" xr:uid="{00000000-0005-0000-0000-0000CE270000}"/>
    <cellStyle name="Output 15 2 12 3" xfId="8337" xr:uid="{00000000-0005-0000-0000-0000CF270000}"/>
    <cellStyle name="Output 15 2 12 4" xfId="9674" xr:uid="{00000000-0005-0000-0000-0000D0270000}"/>
    <cellStyle name="Output 15 2 13" xfId="4836" xr:uid="{00000000-0005-0000-0000-0000D1270000}"/>
    <cellStyle name="Output 15 2 14" xfId="4128" xr:uid="{00000000-0005-0000-0000-0000D2270000}"/>
    <cellStyle name="Output 15 2 15" xfId="7978" xr:uid="{00000000-0005-0000-0000-0000D3270000}"/>
    <cellStyle name="Output 15 2 2" xfId="1778" xr:uid="{00000000-0005-0000-0000-0000D4270000}"/>
    <cellStyle name="Output 15 2 2 2" xfId="3255" xr:uid="{00000000-0005-0000-0000-0000D5270000}"/>
    <cellStyle name="Output 15 2 2 2 2" xfId="6828" xr:uid="{00000000-0005-0000-0000-0000D6270000}"/>
    <cellStyle name="Output 15 2 2 2 3" xfId="8804" xr:uid="{00000000-0005-0000-0000-0000D7270000}"/>
    <cellStyle name="Output 15 2 2 2 4" xfId="10105" xr:uid="{00000000-0005-0000-0000-0000D8270000}"/>
    <cellStyle name="Output 15 2 2 3" xfId="5370" xr:uid="{00000000-0005-0000-0000-0000D9270000}"/>
    <cellStyle name="Output 15 2 2 4" xfId="4194" xr:uid="{00000000-0005-0000-0000-0000DA270000}"/>
    <cellStyle name="Output 15 2 2 5" xfId="11182" xr:uid="{00000000-0005-0000-0000-0000DB270000}"/>
    <cellStyle name="Output 15 2 3" xfId="1944" xr:uid="{00000000-0005-0000-0000-0000DC270000}"/>
    <cellStyle name="Output 15 2 3 2" xfId="3408" xr:uid="{00000000-0005-0000-0000-0000DD270000}"/>
    <cellStyle name="Output 15 2 3 2 2" xfId="6978" xr:uid="{00000000-0005-0000-0000-0000DE270000}"/>
    <cellStyle name="Output 15 2 3 2 3" xfId="8944" xr:uid="{00000000-0005-0000-0000-0000DF270000}"/>
    <cellStyle name="Output 15 2 3 2 4" xfId="10235" xr:uid="{00000000-0005-0000-0000-0000E0270000}"/>
    <cellStyle name="Output 15 2 3 3" xfId="5532" xr:uid="{00000000-0005-0000-0000-0000E1270000}"/>
    <cellStyle name="Output 15 2 3 4" xfId="7895" xr:uid="{00000000-0005-0000-0000-0000E2270000}"/>
    <cellStyle name="Output 15 2 3 5" xfId="11313" xr:uid="{00000000-0005-0000-0000-0000E3270000}"/>
    <cellStyle name="Output 15 2 4" xfId="2014" xr:uid="{00000000-0005-0000-0000-0000E4270000}"/>
    <cellStyle name="Output 15 2 4 2" xfId="3477" xr:uid="{00000000-0005-0000-0000-0000E5270000}"/>
    <cellStyle name="Output 15 2 4 2 2" xfId="7047" xr:uid="{00000000-0005-0000-0000-0000E6270000}"/>
    <cellStyle name="Output 15 2 4 2 3" xfId="9013" xr:uid="{00000000-0005-0000-0000-0000E7270000}"/>
    <cellStyle name="Output 15 2 4 2 4" xfId="10304" xr:uid="{00000000-0005-0000-0000-0000E8270000}"/>
    <cellStyle name="Output 15 2 4 3" xfId="5602" xr:uid="{00000000-0005-0000-0000-0000E9270000}"/>
    <cellStyle name="Output 15 2 4 4" xfId="7664" xr:uid="{00000000-0005-0000-0000-0000EA270000}"/>
    <cellStyle name="Output 15 2 4 5" xfId="11382" xr:uid="{00000000-0005-0000-0000-0000EB270000}"/>
    <cellStyle name="Output 15 2 5" xfId="2082" xr:uid="{00000000-0005-0000-0000-0000EC270000}"/>
    <cellStyle name="Output 15 2 5 2" xfId="3542" xr:uid="{00000000-0005-0000-0000-0000ED270000}"/>
    <cellStyle name="Output 15 2 5 2 2" xfId="7112" xr:uid="{00000000-0005-0000-0000-0000EE270000}"/>
    <cellStyle name="Output 15 2 5 2 3" xfId="9078" xr:uid="{00000000-0005-0000-0000-0000EF270000}"/>
    <cellStyle name="Output 15 2 5 2 4" xfId="10369" xr:uid="{00000000-0005-0000-0000-0000F0270000}"/>
    <cellStyle name="Output 15 2 5 3" xfId="5670" xr:uid="{00000000-0005-0000-0000-0000F1270000}"/>
    <cellStyle name="Output 15 2 5 4" xfId="7880" xr:uid="{00000000-0005-0000-0000-0000F2270000}"/>
    <cellStyle name="Output 15 2 5 5" xfId="11449" xr:uid="{00000000-0005-0000-0000-0000F3270000}"/>
    <cellStyle name="Output 15 2 6" xfId="2150" xr:uid="{00000000-0005-0000-0000-0000F4270000}"/>
    <cellStyle name="Output 15 2 6 2" xfId="3609" xr:uid="{00000000-0005-0000-0000-0000F5270000}"/>
    <cellStyle name="Output 15 2 6 2 2" xfId="7179" xr:uid="{00000000-0005-0000-0000-0000F6270000}"/>
    <cellStyle name="Output 15 2 6 2 3" xfId="9144" xr:uid="{00000000-0005-0000-0000-0000F7270000}"/>
    <cellStyle name="Output 15 2 6 2 4" xfId="10436" xr:uid="{00000000-0005-0000-0000-0000F8270000}"/>
    <cellStyle name="Output 15 2 6 3" xfId="5738" xr:uid="{00000000-0005-0000-0000-0000F9270000}"/>
    <cellStyle name="Output 15 2 6 4" xfId="5009" xr:uid="{00000000-0005-0000-0000-0000FA270000}"/>
    <cellStyle name="Output 15 2 6 5" xfId="11516" xr:uid="{00000000-0005-0000-0000-0000FB270000}"/>
    <cellStyle name="Output 15 2 7" xfId="2222" xr:uid="{00000000-0005-0000-0000-0000FC270000}"/>
    <cellStyle name="Output 15 2 7 2" xfId="3681" xr:uid="{00000000-0005-0000-0000-0000FD270000}"/>
    <cellStyle name="Output 15 2 7 2 2" xfId="7251" xr:uid="{00000000-0005-0000-0000-0000FE270000}"/>
    <cellStyle name="Output 15 2 7 2 3" xfId="9216" xr:uid="{00000000-0005-0000-0000-0000FF270000}"/>
    <cellStyle name="Output 15 2 7 2 4" xfId="10508" xr:uid="{00000000-0005-0000-0000-000000280000}"/>
    <cellStyle name="Output 15 2 7 3" xfId="5810" xr:uid="{00000000-0005-0000-0000-000001280000}"/>
    <cellStyle name="Output 15 2 7 4" xfId="5235" xr:uid="{00000000-0005-0000-0000-000002280000}"/>
    <cellStyle name="Output 15 2 7 5" xfId="11588" xr:uid="{00000000-0005-0000-0000-000003280000}"/>
    <cellStyle name="Output 15 2 8" xfId="2319" xr:uid="{00000000-0005-0000-0000-000004280000}"/>
    <cellStyle name="Output 15 2 8 2" xfId="3776" xr:uid="{00000000-0005-0000-0000-000005280000}"/>
    <cellStyle name="Output 15 2 8 2 2" xfId="7346" xr:uid="{00000000-0005-0000-0000-000006280000}"/>
    <cellStyle name="Output 15 2 8 2 3" xfId="9309" xr:uid="{00000000-0005-0000-0000-000007280000}"/>
    <cellStyle name="Output 15 2 8 2 4" xfId="10603" xr:uid="{00000000-0005-0000-0000-000008280000}"/>
    <cellStyle name="Output 15 2 8 3" xfId="5907" xr:uid="{00000000-0005-0000-0000-000009280000}"/>
    <cellStyle name="Output 15 2 8 4" xfId="4567" xr:uid="{00000000-0005-0000-0000-00000A280000}"/>
    <cellStyle name="Output 15 2 8 5" xfId="11684" xr:uid="{00000000-0005-0000-0000-00000B280000}"/>
    <cellStyle name="Output 15 2 9" xfId="2411" xr:uid="{00000000-0005-0000-0000-00000C280000}"/>
    <cellStyle name="Output 15 2 9 2" xfId="3867" xr:uid="{00000000-0005-0000-0000-00000D280000}"/>
    <cellStyle name="Output 15 2 9 2 2" xfId="7437" xr:uid="{00000000-0005-0000-0000-00000E280000}"/>
    <cellStyle name="Output 15 2 9 2 3" xfId="9399" xr:uid="{00000000-0005-0000-0000-00000F280000}"/>
    <cellStyle name="Output 15 2 9 2 4" xfId="10694" xr:uid="{00000000-0005-0000-0000-000010280000}"/>
    <cellStyle name="Output 15 2 9 3" xfId="5999" xr:uid="{00000000-0005-0000-0000-000011280000}"/>
    <cellStyle name="Output 15 2 9 4" xfId="5263" xr:uid="{00000000-0005-0000-0000-000012280000}"/>
    <cellStyle name="Output 15 2 9 5" xfId="11775" xr:uid="{00000000-0005-0000-0000-000013280000}"/>
    <cellStyle name="Output 15 3" xfId="1598" xr:uid="{00000000-0005-0000-0000-000014280000}"/>
    <cellStyle name="Output 15 3 2" xfId="3081" xr:uid="{00000000-0005-0000-0000-000015280000}"/>
    <cellStyle name="Output 15 3 2 2" xfId="6658" xr:uid="{00000000-0005-0000-0000-000016280000}"/>
    <cellStyle name="Output 15 3 2 3" xfId="8646" xr:uid="{00000000-0005-0000-0000-000017280000}"/>
    <cellStyle name="Output 15 3 2 4" xfId="9962" xr:uid="{00000000-0005-0000-0000-000018280000}"/>
    <cellStyle name="Output 15 3 3" xfId="5195" xr:uid="{00000000-0005-0000-0000-000019280000}"/>
    <cellStyle name="Output 15 3 4" xfId="4069" xr:uid="{00000000-0005-0000-0000-00001A280000}"/>
    <cellStyle name="Output 15 3 5" xfId="11044" xr:uid="{00000000-0005-0000-0000-00001B280000}"/>
    <cellStyle name="Output 15 4" xfId="1361" xr:uid="{00000000-0005-0000-0000-00001C280000}"/>
    <cellStyle name="Output 15 4 2" xfId="2857" xr:uid="{00000000-0005-0000-0000-00001D280000}"/>
    <cellStyle name="Output 15 4 2 2" xfId="6436" xr:uid="{00000000-0005-0000-0000-00001E280000}"/>
    <cellStyle name="Output 15 4 2 3" xfId="8437" xr:uid="{00000000-0005-0000-0000-00001F280000}"/>
    <cellStyle name="Output 15 4 2 4" xfId="9762" xr:uid="{00000000-0005-0000-0000-000020280000}"/>
    <cellStyle name="Output 15 4 3" xfId="4959" xr:uid="{00000000-0005-0000-0000-000021280000}"/>
    <cellStyle name="Output 15 4 4" xfId="8503" xr:uid="{00000000-0005-0000-0000-000022280000}"/>
    <cellStyle name="Output 15 4 5" xfId="10844" xr:uid="{00000000-0005-0000-0000-000023280000}"/>
    <cellStyle name="Output 15 5" xfId="2163" xr:uid="{00000000-0005-0000-0000-000024280000}"/>
    <cellStyle name="Output 15 5 2" xfId="3622" xr:uid="{00000000-0005-0000-0000-000025280000}"/>
    <cellStyle name="Output 15 5 2 2" xfId="7192" xr:uid="{00000000-0005-0000-0000-000026280000}"/>
    <cellStyle name="Output 15 5 2 3" xfId="9157" xr:uid="{00000000-0005-0000-0000-000027280000}"/>
    <cellStyle name="Output 15 5 2 4" xfId="10449" xr:uid="{00000000-0005-0000-0000-000028280000}"/>
    <cellStyle name="Output 15 5 3" xfId="5751" xr:uid="{00000000-0005-0000-0000-000029280000}"/>
    <cellStyle name="Output 15 5 4" xfId="5466" xr:uid="{00000000-0005-0000-0000-00002A280000}"/>
    <cellStyle name="Output 15 5 5" xfId="11529" xr:uid="{00000000-0005-0000-0000-00002B280000}"/>
    <cellStyle name="Output 15 6" xfId="2623" xr:uid="{00000000-0005-0000-0000-00002C280000}"/>
    <cellStyle name="Output 15 6 2" xfId="6211" xr:uid="{00000000-0005-0000-0000-00002D280000}"/>
    <cellStyle name="Output 15 6 3" xfId="8235" xr:uid="{00000000-0005-0000-0000-00002E280000}"/>
    <cellStyle name="Output 15 6 4" xfId="9585" xr:uid="{00000000-0005-0000-0000-00002F280000}"/>
    <cellStyle name="Output 15 7" xfId="4609" xr:uid="{00000000-0005-0000-0000-000030280000}"/>
    <cellStyle name="Output 15 8" xfId="4267" xr:uid="{00000000-0005-0000-0000-000031280000}"/>
    <cellStyle name="Output 15 9" xfId="6229" xr:uid="{00000000-0005-0000-0000-000032280000}"/>
    <cellStyle name="Output 16" xfId="994" xr:uid="{00000000-0005-0000-0000-000033280000}"/>
    <cellStyle name="Output 16 2" xfId="1238" xr:uid="{00000000-0005-0000-0000-000034280000}"/>
    <cellStyle name="Output 16 2 10" xfId="2481" xr:uid="{00000000-0005-0000-0000-000035280000}"/>
    <cellStyle name="Output 16 2 10 2" xfId="3936" xr:uid="{00000000-0005-0000-0000-000036280000}"/>
    <cellStyle name="Output 16 2 10 2 2" xfId="7506" xr:uid="{00000000-0005-0000-0000-000037280000}"/>
    <cellStyle name="Output 16 2 10 2 3" xfId="9466" xr:uid="{00000000-0005-0000-0000-000038280000}"/>
    <cellStyle name="Output 16 2 10 2 4" xfId="10763" xr:uid="{00000000-0005-0000-0000-000039280000}"/>
    <cellStyle name="Output 16 2 10 3" xfId="6069" xr:uid="{00000000-0005-0000-0000-00003A280000}"/>
    <cellStyle name="Output 16 2 10 4" xfId="4704" xr:uid="{00000000-0005-0000-0000-00003B280000}"/>
    <cellStyle name="Output 16 2 10 5" xfId="11845" xr:uid="{00000000-0005-0000-0000-00003C280000}"/>
    <cellStyle name="Output 16 2 11" xfId="2534" xr:uid="{00000000-0005-0000-0000-00003D280000}"/>
    <cellStyle name="Output 16 2 11 2" xfId="3989" xr:uid="{00000000-0005-0000-0000-00003E280000}"/>
    <cellStyle name="Output 16 2 11 2 2" xfId="7559" xr:uid="{00000000-0005-0000-0000-00003F280000}"/>
    <cellStyle name="Output 16 2 11 2 3" xfId="9519" xr:uid="{00000000-0005-0000-0000-000040280000}"/>
    <cellStyle name="Output 16 2 11 2 4" xfId="10816" xr:uid="{00000000-0005-0000-0000-000041280000}"/>
    <cellStyle name="Output 16 2 11 3" xfId="6122" xr:uid="{00000000-0005-0000-0000-000042280000}"/>
    <cellStyle name="Output 16 2 11 4" xfId="4696" xr:uid="{00000000-0005-0000-0000-000043280000}"/>
    <cellStyle name="Output 16 2 11 5" xfId="11898" xr:uid="{00000000-0005-0000-0000-000044280000}"/>
    <cellStyle name="Output 16 2 12" xfId="2743" xr:uid="{00000000-0005-0000-0000-000045280000}"/>
    <cellStyle name="Output 16 2 12 2" xfId="6326" xr:uid="{00000000-0005-0000-0000-000046280000}"/>
    <cellStyle name="Output 16 2 12 3" xfId="8338" xr:uid="{00000000-0005-0000-0000-000047280000}"/>
    <cellStyle name="Output 16 2 12 4" xfId="9675" xr:uid="{00000000-0005-0000-0000-000048280000}"/>
    <cellStyle name="Output 16 2 13" xfId="4837" xr:uid="{00000000-0005-0000-0000-000049280000}"/>
    <cellStyle name="Output 16 2 14" xfId="4127" xr:uid="{00000000-0005-0000-0000-00004A280000}"/>
    <cellStyle name="Output 16 2 15" xfId="7961" xr:uid="{00000000-0005-0000-0000-00004B280000}"/>
    <cellStyle name="Output 16 2 2" xfId="1779" xr:uid="{00000000-0005-0000-0000-00004C280000}"/>
    <cellStyle name="Output 16 2 2 2" xfId="3256" xr:uid="{00000000-0005-0000-0000-00004D280000}"/>
    <cellStyle name="Output 16 2 2 2 2" xfId="6829" xr:uid="{00000000-0005-0000-0000-00004E280000}"/>
    <cellStyle name="Output 16 2 2 2 3" xfId="8805" xr:uid="{00000000-0005-0000-0000-00004F280000}"/>
    <cellStyle name="Output 16 2 2 2 4" xfId="10106" xr:uid="{00000000-0005-0000-0000-000050280000}"/>
    <cellStyle name="Output 16 2 2 3" xfId="5371" xr:uid="{00000000-0005-0000-0000-000051280000}"/>
    <cellStyle name="Output 16 2 2 4" xfId="4193" xr:uid="{00000000-0005-0000-0000-000052280000}"/>
    <cellStyle name="Output 16 2 2 5" xfId="11183" xr:uid="{00000000-0005-0000-0000-000053280000}"/>
    <cellStyle name="Output 16 2 3" xfId="1945" xr:uid="{00000000-0005-0000-0000-000054280000}"/>
    <cellStyle name="Output 16 2 3 2" xfId="3409" xr:uid="{00000000-0005-0000-0000-000055280000}"/>
    <cellStyle name="Output 16 2 3 2 2" xfId="6979" xr:uid="{00000000-0005-0000-0000-000056280000}"/>
    <cellStyle name="Output 16 2 3 2 3" xfId="8945" xr:uid="{00000000-0005-0000-0000-000057280000}"/>
    <cellStyle name="Output 16 2 3 2 4" xfId="10236" xr:uid="{00000000-0005-0000-0000-000058280000}"/>
    <cellStyle name="Output 16 2 3 3" xfId="5533" xr:uid="{00000000-0005-0000-0000-000059280000}"/>
    <cellStyle name="Output 16 2 3 4" xfId="7625" xr:uid="{00000000-0005-0000-0000-00005A280000}"/>
    <cellStyle name="Output 16 2 3 5" xfId="11314" xr:uid="{00000000-0005-0000-0000-00005B280000}"/>
    <cellStyle name="Output 16 2 4" xfId="2015" xr:uid="{00000000-0005-0000-0000-00005C280000}"/>
    <cellStyle name="Output 16 2 4 2" xfId="3478" xr:uid="{00000000-0005-0000-0000-00005D280000}"/>
    <cellStyle name="Output 16 2 4 2 2" xfId="7048" xr:uid="{00000000-0005-0000-0000-00005E280000}"/>
    <cellStyle name="Output 16 2 4 2 3" xfId="9014" xr:uid="{00000000-0005-0000-0000-00005F280000}"/>
    <cellStyle name="Output 16 2 4 2 4" xfId="10305" xr:uid="{00000000-0005-0000-0000-000060280000}"/>
    <cellStyle name="Output 16 2 4 3" xfId="5603" xr:uid="{00000000-0005-0000-0000-000061280000}"/>
    <cellStyle name="Output 16 2 4 4" xfId="4106" xr:uid="{00000000-0005-0000-0000-000062280000}"/>
    <cellStyle name="Output 16 2 4 5" xfId="11383" xr:uid="{00000000-0005-0000-0000-000063280000}"/>
    <cellStyle name="Output 16 2 5" xfId="2083" xr:uid="{00000000-0005-0000-0000-000064280000}"/>
    <cellStyle name="Output 16 2 5 2" xfId="3543" xr:uid="{00000000-0005-0000-0000-000065280000}"/>
    <cellStyle name="Output 16 2 5 2 2" xfId="7113" xr:uid="{00000000-0005-0000-0000-000066280000}"/>
    <cellStyle name="Output 16 2 5 2 3" xfId="9079" xr:uid="{00000000-0005-0000-0000-000067280000}"/>
    <cellStyle name="Output 16 2 5 2 4" xfId="10370" xr:uid="{00000000-0005-0000-0000-000068280000}"/>
    <cellStyle name="Output 16 2 5 3" xfId="5671" xr:uid="{00000000-0005-0000-0000-000069280000}"/>
    <cellStyle name="Output 16 2 5 4" xfId="7783" xr:uid="{00000000-0005-0000-0000-00006A280000}"/>
    <cellStyle name="Output 16 2 5 5" xfId="11450" xr:uid="{00000000-0005-0000-0000-00006B280000}"/>
    <cellStyle name="Output 16 2 6" xfId="2151" xr:uid="{00000000-0005-0000-0000-00006C280000}"/>
    <cellStyle name="Output 16 2 6 2" xfId="3610" xr:uid="{00000000-0005-0000-0000-00006D280000}"/>
    <cellStyle name="Output 16 2 6 2 2" xfId="7180" xr:uid="{00000000-0005-0000-0000-00006E280000}"/>
    <cellStyle name="Output 16 2 6 2 3" xfId="9145" xr:uid="{00000000-0005-0000-0000-00006F280000}"/>
    <cellStyle name="Output 16 2 6 2 4" xfId="10437" xr:uid="{00000000-0005-0000-0000-000070280000}"/>
    <cellStyle name="Output 16 2 6 3" xfId="5739" xr:uid="{00000000-0005-0000-0000-000071280000}"/>
    <cellStyle name="Output 16 2 6 4" xfId="4503" xr:uid="{00000000-0005-0000-0000-000072280000}"/>
    <cellStyle name="Output 16 2 6 5" xfId="11517" xr:uid="{00000000-0005-0000-0000-000073280000}"/>
    <cellStyle name="Output 16 2 7" xfId="2223" xr:uid="{00000000-0005-0000-0000-000074280000}"/>
    <cellStyle name="Output 16 2 7 2" xfId="3682" xr:uid="{00000000-0005-0000-0000-000075280000}"/>
    <cellStyle name="Output 16 2 7 2 2" xfId="7252" xr:uid="{00000000-0005-0000-0000-000076280000}"/>
    <cellStyle name="Output 16 2 7 2 3" xfId="9217" xr:uid="{00000000-0005-0000-0000-000077280000}"/>
    <cellStyle name="Output 16 2 7 2 4" xfId="10509" xr:uid="{00000000-0005-0000-0000-000078280000}"/>
    <cellStyle name="Output 16 2 7 3" xfId="5811" xr:uid="{00000000-0005-0000-0000-000079280000}"/>
    <cellStyle name="Output 16 2 7 4" xfId="4519" xr:uid="{00000000-0005-0000-0000-00007A280000}"/>
    <cellStyle name="Output 16 2 7 5" xfId="11589" xr:uid="{00000000-0005-0000-0000-00007B280000}"/>
    <cellStyle name="Output 16 2 8" xfId="2320" xr:uid="{00000000-0005-0000-0000-00007C280000}"/>
    <cellStyle name="Output 16 2 8 2" xfId="3777" xr:uid="{00000000-0005-0000-0000-00007D280000}"/>
    <cellStyle name="Output 16 2 8 2 2" xfId="7347" xr:uid="{00000000-0005-0000-0000-00007E280000}"/>
    <cellStyle name="Output 16 2 8 2 3" xfId="9310" xr:uid="{00000000-0005-0000-0000-00007F280000}"/>
    <cellStyle name="Output 16 2 8 2 4" xfId="10604" xr:uid="{00000000-0005-0000-0000-000080280000}"/>
    <cellStyle name="Output 16 2 8 3" xfId="5908" xr:uid="{00000000-0005-0000-0000-000081280000}"/>
    <cellStyle name="Output 16 2 8 4" xfId="4568" xr:uid="{00000000-0005-0000-0000-000082280000}"/>
    <cellStyle name="Output 16 2 8 5" xfId="11685" xr:uid="{00000000-0005-0000-0000-000083280000}"/>
    <cellStyle name="Output 16 2 9" xfId="2412" xr:uid="{00000000-0005-0000-0000-000084280000}"/>
    <cellStyle name="Output 16 2 9 2" xfId="3868" xr:uid="{00000000-0005-0000-0000-000085280000}"/>
    <cellStyle name="Output 16 2 9 2 2" xfId="7438" xr:uid="{00000000-0005-0000-0000-000086280000}"/>
    <cellStyle name="Output 16 2 9 2 3" xfId="9400" xr:uid="{00000000-0005-0000-0000-000087280000}"/>
    <cellStyle name="Output 16 2 9 2 4" xfId="10695" xr:uid="{00000000-0005-0000-0000-000088280000}"/>
    <cellStyle name="Output 16 2 9 3" xfId="6000" xr:uid="{00000000-0005-0000-0000-000089280000}"/>
    <cellStyle name="Output 16 2 9 4" xfId="6723" xr:uid="{00000000-0005-0000-0000-00008A280000}"/>
    <cellStyle name="Output 16 2 9 5" xfId="11776" xr:uid="{00000000-0005-0000-0000-00008B280000}"/>
    <cellStyle name="Output 16 3" xfId="1599" xr:uid="{00000000-0005-0000-0000-00008C280000}"/>
    <cellStyle name="Output 16 3 2" xfId="3082" xr:uid="{00000000-0005-0000-0000-00008D280000}"/>
    <cellStyle name="Output 16 3 2 2" xfId="6659" xr:uid="{00000000-0005-0000-0000-00008E280000}"/>
    <cellStyle name="Output 16 3 2 3" xfId="8647" xr:uid="{00000000-0005-0000-0000-00008F280000}"/>
    <cellStyle name="Output 16 3 2 4" xfId="9963" xr:uid="{00000000-0005-0000-0000-000090280000}"/>
    <cellStyle name="Output 16 3 3" xfId="5196" xr:uid="{00000000-0005-0000-0000-000091280000}"/>
    <cellStyle name="Output 16 3 4" xfId="8837" xr:uid="{00000000-0005-0000-0000-000092280000}"/>
    <cellStyle name="Output 16 3 5" xfId="11045" xr:uid="{00000000-0005-0000-0000-000093280000}"/>
    <cellStyle name="Output 16 4" xfId="1360" xr:uid="{00000000-0005-0000-0000-000094280000}"/>
    <cellStyle name="Output 16 4 2" xfId="2856" xr:uid="{00000000-0005-0000-0000-000095280000}"/>
    <cellStyle name="Output 16 4 2 2" xfId="6435" xr:uid="{00000000-0005-0000-0000-000096280000}"/>
    <cellStyle name="Output 16 4 2 3" xfId="8436" xr:uid="{00000000-0005-0000-0000-000097280000}"/>
    <cellStyle name="Output 16 4 2 4" xfId="9761" xr:uid="{00000000-0005-0000-0000-000098280000}"/>
    <cellStyle name="Output 16 4 3" xfId="4958" xr:uid="{00000000-0005-0000-0000-000099280000}"/>
    <cellStyle name="Output 16 4 4" xfId="8107" xr:uid="{00000000-0005-0000-0000-00009A280000}"/>
    <cellStyle name="Output 16 4 5" xfId="10843" xr:uid="{00000000-0005-0000-0000-00009B280000}"/>
    <cellStyle name="Output 16 5" xfId="2032" xr:uid="{00000000-0005-0000-0000-00009C280000}"/>
    <cellStyle name="Output 16 5 2" xfId="3493" xr:uid="{00000000-0005-0000-0000-00009D280000}"/>
    <cellStyle name="Output 16 5 2 2" xfId="7063" xr:uid="{00000000-0005-0000-0000-00009E280000}"/>
    <cellStyle name="Output 16 5 2 3" xfId="9029" xr:uid="{00000000-0005-0000-0000-00009F280000}"/>
    <cellStyle name="Output 16 5 2 4" xfId="10320" xr:uid="{00000000-0005-0000-0000-0000A0280000}"/>
    <cellStyle name="Output 16 5 3" xfId="5620" xr:uid="{00000000-0005-0000-0000-0000A1280000}"/>
    <cellStyle name="Output 16 5 4" xfId="7586" xr:uid="{00000000-0005-0000-0000-0000A2280000}"/>
    <cellStyle name="Output 16 5 5" xfId="11399" xr:uid="{00000000-0005-0000-0000-0000A3280000}"/>
    <cellStyle name="Output 16 6" xfId="2624" xr:uid="{00000000-0005-0000-0000-0000A4280000}"/>
    <cellStyle name="Output 16 6 2" xfId="6212" xr:uid="{00000000-0005-0000-0000-0000A5280000}"/>
    <cellStyle name="Output 16 6 3" xfId="8236" xr:uid="{00000000-0005-0000-0000-0000A6280000}"/>
    <cellStyle name="Output 16 6 4" xfId="9586" xr:uid="{00000000-0005-0000-0000-0000A7280000}"/>
    <cellStyle name="Output 16 7" xfId="4610" xr:uid="{00000000-0005-0000-0000-0000A8280000}"/>
    <cellStyle name="Output 16 8" xfId="4266" xr:uid="{00000000-0005-0000-0000-0000A9280000}"/>
    <cellStyle name="Output 16 9" xfId="7639" xr:uid="{00000000-0005-0000-0000-0000AA280000}"/>
    <cellStyle name="Output 17" xfId="995" xr:uid="{00000000-0005-0000-0000-0000AB280000}"/>
    <cellStyle name="Output 17 2" xfId="1239" xr:uid="{00000000-0005-0000-0000-0000AC280000}"/>
    <cellStyle name="Output 17 2 10" xfId="2482" xr:uid="{00000000-0005-0000-0000-0000AD280000}"/>
    <cellStyle name="Output 17 2 10 2" xfId="3937" xr:uid="{00000000-0005-0000-0000-0000AE280000}"/>
    <cellStyle name="Output 17 2 10 2 2" xfId="7507" xr:uid="{00000000-0005-0000-0000-0000AF280000}"/>
    <cellStyle name="Output 17 2 10 2 3" xfId="9467" xr:uid="{00000000-0005-0000-0000-0000B0280000}"/>
    <cellStyle name="Output 17 2 10 2 4" xfId="10764" xr:uid="{00000000-0005-0000-0000-0000B1280000}"/>
    <cellStyle name="Output 17 2 10 3" xfId="6070" xr:uid="{00000000-0005-0000-0000-0000B2280000}"/>
    <cellStyle name="Output 17 2 10 4" xfId="7580" xr:uid="{00000000-0005-0000-0000-0000B3280000}"/>
    <cellStyle name="Output 17 2 10 5" xfId="11846" xr:uid="{00000000-0005-0000-0000-0000B4280000}"/>
    <cellStyle name="Output 17 2 11" xfId="2535" xr:uid="{00000000-0005-0000-0000-0000B5280000}"/>
    <cellStyle name="Output 17 2 11 2" xfId="3990" xr:uid="{00000000-0005-0000-0000-0000B6280000}"/>
    <cellStyle name="Output 17 2 11 2 2" xfId="7560" xr:uid="{00000000-0005-0000-0000-0000B7280000}"/>
    <cellStyle name="Output 17 2 11 2 3" xfId="9520" xr:uid="{00000000-0005-0000-0000-0000B8280000}"/>
    <cellStyle name="Output 17 2 11 2 4" xfId="10817" xr:uid="{00000000-0005-0000-0000-0000B9280000}"/>
    <cellStyle name="Output 17 2 11 3" xfId="6123" xr:uid="{00000000-0005-0000-0000-0000BA280000}"/>
    <cellStyle name="Output 17 2 11 4" xfId="4651" xr:uid="{00000000-0005-0000-0000-0000BB280000}"/>
    <cellStyle name="Output 17 2 11 5" xfId="11899" xr:uid="{00000000-0005-0000-0000-0000BC280000}"/>
    <cellStyle name="Output 17 2 12" xfId="2744" xr:uid="{00000000-0005-0000-0000-0000BD280000}"/>
    <cellStyle name="Output 17 2 12 2" xfId="6327" xr:uid="{00000000-0005-0000-0000-0000BE280000}"/>
    <cellStyle name="Output 17 2 12 3" xfId="8339" xr:uid="{00000000-0005-0000-0000-0000BF280000}"/>
    <cellStyle name="Output 17 2 12 4" xfId="9676" xr:uid="{00000000-0005-0000-0000-0000C0280000}"/>
    <cellStyle name="Output 17 2 13" xfId="4838" xr:uid="{00000000-0005-0000-0000-0000C1280000}"/>
    <cellStyle name="Output 17 2 14" xfId="4126" xr:uid="{00000000-0005-0000-0000-0000C2280000}"/>
    <cellStyle name="Output 17 2 15" xfId="7940" xr:uid="{00000000-0005-0000-0000-0000C3280000}"/>
    <cellStyle name="Output 17 2 2" xfId="1780" xr:uid="{00000000-0005-0000-0000-0000C4280000}"/>
    <cellStyle name="Output 17 2 2 2" xfId="3257" xr:uid="{00000000-0005-0000-0000-0000C5280000}"/>
    <cellStyle name="Output 17 2 2 2 2" xfId="6830" xr:uid="{00000000-0005-0000-0000-0000C6280000}"/>
    <cellStyle name="Output 17 2 2 2 3" xfId="8806" xr:uid="{00000000-0005-0000-0000-0000C7280000}"/>
    <cellStyle name="Output 17 2 2 2 4" xfId="10107" xr:uid="{00000000-0005-0000-0000-0000C8280000}"/>
    <cellStyle name="Output 17 2 2 3" xfId="5372" xr:uid="{00000000-0005-0000-0000-0000C9280000}"/>
    <cellStyle name="Output 17 2 2 4" xfId="6918" xr:uid="{00000000-0005-0000-0000-0000CA280000}"/>
    <cellStyle name="Output 17 2 2 5" xfId="11184" xr:uid="{00000000-0005-0000-0000-0000CB280000}"/>
    <cellStyle name="Output 17 2 3" xfId="1946" xr:uid="{00000000-0005-0000-0000-0000CC280000}"/>
    <cellStyle name="Output 17 2 3 2" xfId="3410" xr:uid="{00000000-0005-0000-0000-0000CD280000}"/>
    <cellStyle name="Output 17 2 3 2 2" xfId="6980" xr:uid="{00000000-0005-0000-0000-0000CE280000}"/>
    <cellStyle name="Output 17 2 3 2 3" xfId="8946" xr:uid="{00000000-0005-0000-0000-0000CF280000}"/>
    <cellStyle name="Output 17 2 3 2 4" xfId="10237" xr:uid="{00000000-0005-0000-0000-0000D0280000}"/>
    <cellStyle name="Output 17 2 3 3" xfId="5534" xr:uid="{00000000-0005-0000-0000-0000D1280000}"/>
    <cellStyle name="Output 17 2 3 4" xfId="8071" xr:uid="{00000000-0005-0000-0000-0000D2280000}"/>
    <cellStyle name="Output 17 2 3 5" xfId="11315" xr:uid="{00000000-0005-0000-0000-0000D3280000}"/>
    <cellStyle name="Output 17 2 4" xfId="2016" xr:uid="{00000000-0005-0000-0000-0000D4280000}"/>
    <cellStyle name="Output 17 2 4 2" xfId="3479" xr:uid="{00000000-0005-0000-0000-0000D5280000}"/>
    <cellStyle name="Output 17 2 4 2 2" xfId="7049" xr:uid="{00000000-0005-0000-0000-0000D6280000}"/>
    <cellStyle name="Output 17 2 4 2 3" xfId="9015" xr:uid="{00000000-0005-0000-0000-0000D7280000}"/>
    <cellStyle name="Output 17 2 4 2 4" xfId="10306" xr:uid="{00000000-0005-0000-0000-0000D8280000}"/>
    <cellStyle name="Output 17 2 4 3" xfId="5604" xr:uid="{00000000-0005-0000-0000-0000D9280000}"/>
    <cellStyle name="Output 17 2 4 4" xfId="7836" xr:uid="{00000000-0005-0000-0000-0000DA280000}"/>
    <cellStyle name="Output 17 2 4 5" xfId="11384" xr:uid="{00000000-0005-0000-0000-0000DB280000}"/>
    <cellStyle name="Output 17 2 5" xfId="2084" xr:uid="{00000000-0005-0000-0000-0000DC280000}"/>
    <cellStyle name="Output 17 2 5 2" xfId="3544" xr:uid="{00000000-0005-0000-0000-0000DD280000}"/>
    <cellStyle name="Output 17 2 5 2 2" xfId="7114" xr:uid="{00000000-0005-0000-0000-0000DE280000}"/>
    <cellStyle name="Output 17 2 5 2 3" xfId="9080" xr:uid="{00000000-0005-0000-0000-0000DF280000}"/>
    <cellStyle name="Output 17 2 5 2 4" xfId="10371" xr:uid="{00000000-0005-0000-0000-0000E0280000}"/>
    <cellStyle name="Output 17 2 5 3" xfId="5672" xr:uid="{00000000-0005-0000-0000-0000E1280000}"/>
    <cellStyle name="Output 17 2 5 4" xfId="8001" xr:uid="{00000000-0005-0000-0000-0000E2280000}"/>
    <cellStyle name="Output 17 2 5 5" xfId="11451" xr:uid="{00000000-0005-0000-0000-0000E3280000}"/>
    <cellStyle name="Output 17 2 6" xfId="2152" xr:uid="{00000000-0005-0000-0000-0000E4280000}"/>
    <cellStyle name="Output 17 2 6 2" xfId="3611" xr:uid="{00000000-0005-0000-0000-0000E5280000}"/>
    <cellStyle name="Output 17 2 6 2 2" xfId="7181" xr:uid="{00000000-0005-0000-0000-0000E6280000}"/>
    <cellStyle name="Output 17 2 6 2 3" xfId="9146" xr:uid="{00000000-0005-0000-0000-0000E7280000}"/>
    <cellStyle name="Output 17 2 6 2 4" xfId="10438" xr:uid="{00000000-0005-0000-0000-0000E8280000}"/>
    <cellStyle name="Output 17 2 6 3" xfId="5740" xr:uid="{00000000-0005-0000-0000-0000E9280000}"/>
    <cellStyle name="Output 17 2 6 4" xfId="5134" xr:uid="{00000000-0005-0000-0000-0000EA280000}"/>
    <cellStyle name="Output 17 2 6 5" xfId="11518" xr:uid="{00000000-0005-0000-0000-0000EB280000}"/>
    <cellStyle name="Output 17 2 7" xfId="2224" xr:uid="{00000000-0005-0000-0000-0000EC280000}"/>
    <cellStyle name="Output 17 2 7 2" xfId="3683" xr:uid="{00000000-0005-0000-0000-0000ED280000}"/>
    <cellStyle name="Output 17 2 7 2 2" xfId="7253" xr:uid="{00000000-0005-0000-0000-0000EE280000}"/>
    <cellStyle name="Output 17 2 7 2 3" xfId="9218" xr:uid="{00000000-0005-0000-0000-0000EF280000}"/>
    <cellStyle name="Output 17 2 7 2 4" xfId="10510" xr:uid="{00000000-0005-0000-0000-0000F0280000}"/>
    <cellStyle name="Output 17 2 7 3" xfId="5812" xr:uid="{00000000-0005-0000-0000-0000F1280000}"/>
    <cellStyle name="Output 17 2 7 4" xfId="4520" xr:uid="{00000000-0005-0000-0000-0000F2280000}"/>
    <cellStyle name="Output 17 2 7 5" xfId="11590" xr:uid="{00000000-0005-0000-0000-0000F3280000}"/>
    <cellStyle name="Output 17 2 8" xfId="2321" xr:uid="{00000000-0005-0000-0000-0000F4280000}"/>
    <cellStyle name="Output 17 2 8 2" xfId="3778" xr:uid="{00000000-0005-0000-0000-0000F5280000}"/>
    <cellStyle name="Output 17 2 8 2 2" xfId="7348" xr:uid="{00000000-0005-0000-0000-0000F6280000}"/>
    <cellStyle name="Output 17 2 8 2 3" xfId="9311" xr:uid="{00000000-0005-0000-0000-0000F7280000}"/>
    <cellStyle name="Output 17 2 8 2 4" xfId="10605" xr:uid="{00000000-0005-0000-0000-0000F8280000}"/>
    <cellStyle name="Output 17 2 8 3" xfId="5909" xr:uid="{00000000-0005-0000-0000-0000F9280000}"/>
    <cellStyle name="Output 17 2 8 4" xfId="4569" xr:uid="{00000000-0005-0000-0000-0000FA280000}"/>
    <cellStyle name="Output 17 2 8 5" xfId="11686" xr:uid="{00000000-0005-0000-0000-0000FB280000}"/>
    <cellStyle name="Output 17 2 9" xfId="2413" xr:uid="{00000000-0005-0000-0000-0000FC280000}"/>
    <cellStyle name="Output 17 2 9 2" xfId="3869" xr:uid="{00000000-0005-0000-0000-0000FD280000}"/>
    <cellStyle name="Output 17 2 9 2 2" xfId="7439" xr:uid="{00000000-0005-0000-0000-0000FE280000}"/>
    <cellStyle name="Output 17 2 9 2 3" xfId="9401" xr:uid="{00000000-0005-0000-0000-0000FF280000}"/>
    <cellStyle name="Output 17 2 9 2 4" xfId="10696" xr:uid="{00000000-0005-0000-0000-000000290000}"/>
    <cellStyle name="Output 17 2 9 3" xfId="6001" xr:uid="{00000000-0005-0000-0000-000001290000}"/>
    <cellStyle name="Output 17 2 9 4" xfId="6235" xr:uid="{00000000-0005-0000-0000-000002290000}"/>
    <cellStyle name="Output 17 2 9 5" xfId="11777" xr:uid="{00000000-0005-0000-0000-000003290000}"/>
    <cellStyle name="Output 17 3" xfId="1600" xr:uid="{00000000-0005-0000-0000-000004290000}"/>
    <cellStyle name="Output 17 3 2" xfId="3083" xr:uid="{00000000-0005-0000-0000-000005290000}"/>
    <cellStyle name="Output 17 3 2 2" xfId="6660" xr:uid="{00000000-0005-0000-0000-000006290000}"/>
    <cellStyle name="Output 17 3 2 3" xfId="8648" xr:uid="{00000000-0005-0000-0000-000007290000}"/>
    <cellStyle name="Output 17 3 2 4" xfId="9964" xr:uid="{00000000-0005-0000-0000-000008290000}"/>
    <cellStyle name="Output 17 3 3" xfId="5197" xr:uid="{00000000-0005-0000-0000-000009290000}"/>
    <cellStyle name="Output 17 3 4" xfId="7853" xr:uid="{00000000-0005-0000-0000-00000A290000}"/>
    <cellStyle name="Output 17 3 5" xfId="11046" xr:uid="{00000000-0005-0000-0000-00000B290000}"/>
    <cellStyle name="Output 17 4" xfId="1359" xr:uid="{00000000-0005-0000-0000-00000C290000}"/>
    <cellStyle name="Output 17 4 2" xfId="2855" xr:uid="{00000000-0005-0000-0000-00000D290000}"/>
    <cellStyle name="Output 17 4 2 2" xfId="6434" xr:uid="{00000000-0005-0000-0000-00000E290000}"/>
    <cellStyle name="Output 17 4 2 3" xfId="8435" xr:uid="{00000000-0005-0000-0000-00000F290000}"/>
    <cellStyle name="Output 17 4 2 4" xfId="9760" xr:uid="{00000000-0005-0000-0000-000010290000}"/>
    <cellStyle name="Output 17 4 3" xfId="4957" xr:uid="{00000000-0005-0000-0000-000011290000}"/>
    <cellStyle name="Output 17 4 4" xfId="8010" xr:uid="{00000000-0005-0000-0000-000012290000}"/>
    <cellStyle name="Output 17 4 5" xfId="10842" xr:uid="{00000000-0005-0000-0000-000013290000}"/>
    <cellStyle name="Output 17 5" xfId="1824" xr:uid="{00000000-0005-0000-0000-000014290000}"/>
    <cellStyle name="Output 17 5 2" xfId="3301" xr:uid="{00000000-0005-0000-0000-000015290000}"/>
    <cellStyle name="Output 17 5 2 2" xfId="6871" xr:uid="{00000000-0005-0000-0000-000016290000}"/>
    <cellStyle name="Output 17 5 2 3" xfId="8839" xr:uid="{00000000-0005-0000-0000-000017290000}"/>
    <cellStyle name="Output 17 5 2 4" xfId="10132" xr:uid="{00000000-0005-0000-0000-000018290000}"/>
    <cellStyle name="Output 17 5 3" xfId="5413" xr:uid="{00000000-0005-0000-0000-000019290000}"/>
    <cellStyle name="Output 17 5 4" xfId="4196" xr:uid="{00000000-0005-0000-0000-00001A290000}"/>
    <cellStyle name="Output 17 5 5" xfId="11209" xr:uid="{00000000-0005-0000-0000-00001B290000}"/>
    <cellStyle name="Output 17 6" xfId="2625" xr:uid="{00000000-0005-0000-0000-00001C290000}"/>
    <cellStyle name="Output 17 6 2" xfId="6213" xr:uid="{00000000-0005-0000-0000-00001D290000}"/>
    <cellStyle name="Output 17 6 3" xfId="8237" xr:uid="{00000000-0005-0000-0000-00001E290000}"/>
    <cellStyle name="Output 17 6 4" xfId="9587" xr:uid="{00000000-0005-0000-0000-00001F290000}"/>
    <cellStyle name="Output 17 7" xfId="4611" xr:uid="{00000000-0005-0000-0000-000020290000}"/>
    <cellStyle name="Output 17 8" xfId="4265" xr:uid="{00000000-0005-0000-0000-000021290000}"/>
    <cellStyle name="Output 17 9" xfId="8600" xr:uid="{00000000-0005-0000-0000-000022290000}"/>
    <cellStyle name="Output 18" xfId="996" xr:uid="{00000000-0005-0000-0000-000023290000}"/>
    <cellStyle name="Output 18 2" xfId="1240" xr:uid="{00000000-0005-0000-0000-000024290000}"/>
    <cellStyle name="Output 18 2 10" xfId="2483" xr:uid="{00000000-0005-0000-0000-000025290000}"/>
    <cellStyle name="Output 18 2 10 2" xfId="3938" xr:uid="{00000000-0005-0000-0000-000026290000}"/>
    <cellStyle name="Output 18 2 10 2 2" xfId="7508" xr:uid="{00000000-0005-0000-0000-000027290000}"/>
    <cellStyle name="Output 18 2 10 2 3" xfId="9468" xr:uid="{00000000-0005-0000-0000-000028290000}"/>
    <cellStyle name="Output 18 2 10 2 4" xfId="10765" xr:uid="{00000000-0005-0000-0000-000029290000}"/>
    <cellStyle name="Output 18 2 10 3" xfId="6071" xr:uid="{00000000-0005-0000-0000-00002A290000}"/>
    <cellStyle name="Output 18 2 10 4" xfId="7579" xr:uid="{00000000-0005-0000-0000-00002B290000}"/>
    <cellStyle name="Output 18 2 10 5" xfId="11847" xr:uid="{00000000-0005-0000-0000-00002C290000}"/>
    <cellStyle name="Output 18 2 11" xfId="2536" xr:uid="{00000000-0005-0000-0000-00002D290000}"/>
    <cellStyle name="Output 18 2 11 2" xfId="3991" xr:uid="{00000000-0005-0000-0000-00002E290000}"/>
    <cellStyle name="Output 18 2 11 2 2" xfId="7561" xr:uid="{00000000-0005-0000-0000-00002F290000}"/>
    <cellStyle name="Output 18 2 11 2 3" xfId="9521" xr:uid="{00000000-0005-0000-0000-000030290000}"/>
    <cellStyle name="Output 18 2 11 2 4" xfId="10818" xr:uid="{00000000-0005-0000-0000-000031290000}"/>
    <cellStyle name="Output 18 2 11 3" xfId="6124" xr:uid="{00000000-0005-0000-0000-000032290000}"/>
    <cellStyle name="Output 18 2 11 4" xfId="4849" xr:uid="{00000000-0005-0000-0000-000033290000}"/>
    <cellStyle name="Output 18 2 11 5" xfId="11900" xr:uid="{00000000-0005-0000-0000-000034290000}"/>
    <cellStyle name="Output 18 2 12" xfId="2745" xr:uid="{00000000-0005-0000-0000-000035290000}"/>
    <cellStyle name="Output 18 2 12 2" xfId="6328" xr:uid="{00000000-0005-0000-0000-000036290000}"/>
    <cellStyle name="Output 18 2 12 3" xfId="8340" xr:uid="{00000000-0005-0000-0000-000037290000}"/>
    <cellStyle name="Output 18 2 12 4" xfId="9677" xr:uid="{00000000-0005-0000-0000-000038290000}"/>
    <cellStyle name="Output 18 2 13" xfId="4839" xr:uid="{00000000-0005-0000-0000-000039290000}"/>
    <cellStyle name="Output 18 2 14" xfId="4125" xr:uid="{00000000-0005-0000-0000-00003A290000}"/>
    <cellStyle name="Output 18 2 15" xfId="7915" xr:uid="{00000000-0005-0000-0000-00003B290000}"/>
    <cellStyle name="Output 18 2 2" xfId="1781" xr:uid="{00000000-0005-0000-0000-00003C290000}"/>
    <cellStyle name="Output 18 2 2 2" xfId="3258" xr:uid="{00000000-0005-0000-0000-00003D290000}"/>
    <cellStyle name="Output 18 2 2 2 2" xfId="6831" xr:uid="{00000000-0005-0000-0000-00003E290000}"/>
    <cellStyle name="Output 18 2 2 2 3" xfId="8807" xr:uid="{00000000-0005-0000-0000-00003F290000}"/>
    <cellStyle name="Output 18 2 2 2 4" xfId="10108" xr:uid="{00000000-0005-0000-0000-000040290000}"/>
    <cellStyle name="Output 18 2 2 3" xfId="5373" xr:uid="{00000000-0005-0000-0000-000041290000}"/>
    <cellStyle name="Output 18 2 2 4" xfId="5444" xr:uid="{00000000-0005-0000-0000-000042290000}"/>
    <cellStyle name="Output 18 2 2 5" xfId="11185" xr:uid="{00000000-0005-0000-0000-000043290000}"/>
    <cellStyle name="Output 18 2 3" xfId="1947" xr:uid="{00000000-0005-0000-0000-000044290000}"/>
    <cellStyle name="Output 18 2 3 2" xfId="3411" xr:uid="{00000000-0005-0000-0000-000045290000}"/>
    <cellStyle name="Output 18 2 3 2 2" xfId="6981" xr:uid="{00000000-0005-0000-0000-000046290000}"/>
    <cellStyle name="Output 18 2 3 2 3" xfId="8947" xr:uid="{00000000-0005-0000-0000-000047290000}"/>
    <cellStyle name="Output 18 2 3 2 4" xfId="10238" xr:uid="{00000000-0005-0000-0000-000048290000}"/>
    <cellStyle name="Output 18 2 3 3" xfId="5535" xr:uid="{00000000-0005-0000-0000-000049290000}"/>
    <cellStyle name="Output 18 2 3 4" xfId="8027" xr:uid="{00000000-0005-0000-0000-00004A290000}"/>
    <cellStyle name="Output 18 2 3 5" xfId="11316" xr:uid="{00000000-0005-0000-0000-00004B290000}"/>
    <cellStyle name="Output 18 2 4" xfId="2017" xr:uid="{00000000-0005-0000-0000-00004C290000}"/>
    <cellStyle name="Output 18 2 4 2" xfId="3480" xr:uid="{00000000-0005-0000-0000-00004D290000}"/>
    <cellStyle name="Output 18 2 4 2 2" xfId="7050" xr:uid="{00000000-0005-0000-0000-00004E290000}"/>
    <cellStyle name="Output 18 2 4 2 3" xfId="9016" xr:uid="{00000000-0005-0000-0000-00004F290000}"/>
    <cellStyle name="Output 18 2 4 2 4" xfId="10307" xr:uid="{00000000-0005-0000-0000-000050290000}"/>
    <cellStyle name="Output 18 2 4 3" xfId="5605" xr:uid="{00000000-0005-0000-0000-000051290000}"/>
    <cellStyle name="Output 18 2 4 4" xfId="7885" xr:uid="{00000000-0005-0000-0000-000052290000}"/>
    <cellStyle name="Output 18 2 4 5" xfId="11385" xr:uid="{00000000-0005-0000-0000-000053290000}"/>
    <cellStyle name="Output 18 2 5" xfId="2085" xr:uid="{00000000-0005-0000-0000-000054290000}"/>
    <cellStyle name="Output 18 2 5 2" xfId="3545" xr:uid="{00000000-0005-0000-0000-000055290000}"/>
    <cellStyle name="Output 18 2 5 2 2" xfId="7115" xr:uid="{00000000-0005-0000-0000-000056290000}"/>
    <cellStyle name="Output 18 2 5 2 3" xfId="9081" xr:uid="{00000000-0005-0000-0000-000057290000}"/>
    <cellStyle name="Output 18 2 5 2 4" xfId="10372" xr:uid="{00000000-0005-0000-0000-000058290000}"/>
    <cellStyle name="Output 18 2 5 3" xfId="5673" xr:uid="{00000000-0005-0000-0000-000059290000}"/>
    <cellStyle name="Output 18 2 5 4" xfId="7855" xr:uid="{00000000-0005-0000-0000-00005A290000}"/>
    <cellStyle name="Output 18 2 5 5" xfId="11452" xr:uid="{00000000-0005-0000-0000-00005B290000}"/>
    <cellStyle name="Output 18 2 6" xfId="2153" xr:uid="{00000000-0005-0000-0000-00005C290000}"/>
    <cellStyle name="Output 18 2 6 2" xfId="3612" xr:uid="{00000000-0005-0000-0000-00005D290000}"/>
    <cellStyle name="Output 18 2 6 2 2" xfId="7182" xr:uid="{00000000-0005-0000-0000-00005E290000}"/>
    <cellStyle name="Output 18 2 6 2 3" xfId="9147" xr:uid="{00000000-0005-0000-0000-00005F290000}"/>
    <cellStyle name="Output 18 2 6 2 4" xfId="10439" xr:uid="{00000000-0005-0000-0000-000060290000}"/>
    <cellStyle name="Output 18 2 6 3" xfId="5741" xr:uid="{00000000-0005-0000-0000-000061290000}"/>
    <cellStyle name="Output 18 2 6 4" xfId="6598" xr:uid="{00000000-0005-0000-0000-000062290000}"/>
    <cellStyle name="Output 18 2 6 5" xfId="11519" xr:uid="{00000000-0005-0000-0000-000063290000}"/>
    <cellStyle name="Output 18 2 7" xfId="2225" xr:uid="{00000000-0005-0000-0000-000064290000}"/>
    <cellStyle name="Output 18 2 7 2" xfId="3684" xr:uid="{00000000-0005-0000-0000-000065290000}"/>
    <cellStyle name="Output 18 2 7 2 2" xfId="7254" xr:uid="{00000000-0005-0000-0000-000066290000}"/>
    <cellStyle name="Output 18 2 7 2 3" xfId="9219" xr:uid="{00000000-0005-0000-0000-000067290000}"/>
    <cellStyle name="Output 18 2 7 2 4" xfId="10511" xr:uid="{00000000-0005-0000-0000-000068290000}"/>
    <cellStyle name="Output 18 2 7 3" xfId="5813" xr:uid="{00000000-0005-0000-0000-000069290000}"/>
    <cellStyle name="Output 18 2 7 4" xfId="4521" xr:uid="{00000000-0005-0000-0000-00006A290000}"/>
    <cellStyle name="Output 18 2 7 5" xfId="11591" xr:uid="{00000000-0005-0000-0000-00006B290000}"/>
    <cellStyle name="Output 18 2 8" xfId="2322" xr:uid="{00000000-0005-0000-0000-00006C290000}"/>
    <cellStyle name="Output 18 2 8 2" xfId="3779" xr:uid="{00000000-0005-0000-0000-00006D290000}"/>
    <cellStyle name="Output 18 2 8 2 2" xfId="7349" xr:uid="{00000000-0005-0000-0000-00006E290000}"/>
    <cellStyle name="Output 18 2 8 2 3" xfId="9312" xr:uid="{00000000-0005-0000-0000-00006F290000}"/>
    <cellStyle name="Output 18 2 8 2 4" xfId="10606" xr:uid="{00000000-0005-0000-0000-000070290000}"/>
    <cellStyle name="Output 18 2 8 3" xfId="5910" xr:uid="{00000000-0005-0000-0000-000071290000}"/>
    <cellStyle name="Output 18 2 8 4" xfId="4570" xr:uid="{00000000-0005-0000-0000-000072290000}"/>
    <cellStyle name="Output 18 2 8 5" xfId="11687" xr:uid="{00000000-0005-0000-0000-000073290000}"/>
    <cellStyle name="Output 18 2 9" xfId="2414" xr:uid="{00000000-0005-0000-0000-000074290000}"/>
    <cellStyle name="Output 18 2 9 2" xfId="3870" xr:uid="{00000000-0005-0000-0000-000075290000}"/>
    <cellStyle name="Output 18 2 9 2 2" xfId="7440" xr:uid="{00000000-0005-0000-0000-000076290000}"/>
    <cellStyle name="Output 18 2 9 2 3" xfId="9402" xr:uid="{00000000-0005-0000-0000-000077290000}"/>
    <cellStyle name="Output 18 2 9 2 4" xfId="10697" xr:uid="{00000000-0005-0000-0000-000078290000}"/>
    <cellStyle name="Output 18 2 9 3" xfId="6002" xr:uid="{00000000-0005-0000-0000-000079290000}"/>
    <cellStyle name="Output 18 2 9 4" xfId="4027" xr:uid="{00000000-0005-0000-0000-00007A290000}"/>
    <cellStyle name="Output 18 2 9 5" xfId="11778" xr:uid="{00000000-0005-0000-0000-00007B290000}"/>
    <cellStyle name="Output 18 3" xfId="1601" xr:uid="{00000000-0005-0000-0000-00007C290000}"/>
    <cellStyle name="Output 18 3 2" xfId="3084" xr:uid="{00000000-0005-0000-0000-00007D290000}"/>
    <cellStyle name="Output 18 3 2 2" xfId="6661" xr:uid="{00000000-0005-0000-0000-00007E290000}"/>
    <cellStyle name="Output 18 3 2 3" xfId="8649" xr:uid="{00000000-0005-0000-0000-00007F290000}"/>
    <cellStyle name="Output 18 3 2 4" xfId="9965" xr:uid="{00000000-0005-0000-0000-000080290000}"/>
    <cellStyle name="Output 18 3 3" xfId="5198" xr:uid="{00000000-0005-0000-0000-000081290000}"/>
    <cellStyle name="Output 18 3 4" xfId="8829" xr:uid="{00000000-0005-0000-0000-000082290000}"/>
    <cellStyle name="Output 18 3 5" xfId="11047" xr:uid="{00000000-0005-0000-0000-000083290000}"/>
    <cellStyle name="Output 18 4" xfId="1358" xr:uid="{00000000-0005-0000-0000-000084290000}"/>
    <cellStyle name="Output 18 4 2" xfId="2854" xr:uid="{00000000-0005-0000-0000-000085290000}"/>
    <cellStyle name="Output 18 4 2 2" xfId="6433" xr:uid="{00000000-0005-0000-0000-000086290000}"/>
    <cellStyle name="Output 18 4 2 3" xfId="8434" xr:uid="{00000000-0005-0000-0000-000087290000}"/>
    <cellStyle name="Output 18 4 2 4" xfId="9759" xr:uid="{00000000-0005-0000-0000-000088290000}"/>
    <cellStyle name="Output 18 4 3" xfId="4956" xr:uid="{00000000-0005-0000-0000-000089290000}"/>
    <cellStyle name="Output 18 4 4" xfId="7813" xr:uid="{00000000-0005-0000-0000-00008A290000}"/>
    <cellStyle name="Output 18 4 5" xfId="10841" xr:uid="{00000000-0005-0000-0000-00008B290000}"/>
    <cellStyle name="Output 18 5" xfId="1457" xr:uid="{00000000-0005-0000-0000-00008C290000}"/>
    <cellStyle name="Output 18 5 2" xfId="2942" xr:uid="{00000000-0005-0000-0000-00008D290000}"/>
    <cellStyle name="Output 18 5 2 2" xfId="6519" xr:uid="{00000000-0005-0000-0000-00008E290000}"/>
    <cellStyle name="Output 18 5 2 3" xfId="8522" xr:uid="{00000000-0005-0000-0000-00008F290000}"/>
    <cellStyle name="Output 18 5 2 4" xfId="9843" xr:uid="{00000000-0005-0000-0000-000090290000}"/>
    <cellStyle name="Output 18 5 3" xfId="5054" xr:uid="{00000000-0005-0000-0000-000091290000}"/>
    <cellStyle name="Output 18 5 4" xfId="8752" xr:uid="{00000000-0005-0000-0000-000092290000}"/>
    <cellStyle name="Output 18 5 5" xfId="10924" xr:uid="{00000000-0005-0000-0000-000093290000}"/>
    <cellStyle name="Output 18 6" xfId="2626" xr:uid="{00000000-0005-0000-0000-000094290000}"/>
    <cellStyle name="Output 18 6 2" xfId="6214" xr:uid="{00000000-0005-0000-0000-000095290000}"/>
    <cellStyle name="Output 18 6 3" xfId="8238" xr:uid="{00000000-0005-0000-0000-000096290000}"/>
    <cellStyle name="Output 18 6 4" xfId="9588" xr:uid="{00000000-0005-0000-0000-000097290000}"/>
    <cellStyle name="Output 18 7" xfId="4612" xr:uid="{00000000-0005-0000-0000-000098290000}"/>
    <cellStyle name="Output 18 8" xfId="4264" xr:uid="{00000000-0005-0000-0000-000099290000}"/>
    <cellStyle name="Output 18 9" xfId="7703" xr:uid="{00000000-0005-0000-0000-00009A290000}"/>
    <cellStyle name="Output 19" xfId="997" xr:uid="{00000000-0005-0000-0000-00009B290000}"/>
    <cellStyle name="Output 19 2" xfId="1241" xr:uid="{00000000-0005-0000-0000-00009C290000}"/>
    <cellStyle name="Output 19 2 10" xfId="2484" xr:uid="{00000000-0005-0000-0000-00009D290000}"/>
    <cellStyle name="Output 19 2 10 2" xfId="3939" xr:uid="{00000000-0005-0000-0000-00009E290000}"/>
    <cellStyle name="Output 19 2 10 2 2" xfId="7509" xr:uid="{00000000-0005-0000-0000-00009F290000}"/>
    <cellStyle name="Output 19 2 10 2 3" xfId="9469" xr:uid="{00000000-0005-0000-0000-0000A0290000}"/>
    <cellStyle name="Output 19 2 10 2 4" xfId="10766" xr:uid="{00000000-0005-0000-0000-0000A1290000}"/>
    <cellStyle name="Output 19 2 10 3" xfId="6072" xr:uid="{00000000-0005-0000-0000-0000A2290000}"/>
    <cellStyle name="Output 19 2 10 4" xfId="4621" xr:uid="{00000000-0005-0000-0000-0000A3290000}"/>
    <cellStyle name="Output 19 2 10 5" xfId="11848" xr:uid="{00000000-0005-0000-0000-0000A4290000}"/>
    <cellStyle name="Output 19 2 11" xfId="2537" xr:uid="{00000000-0005-0000-0000-0000A5290000}"/>
    <cellStyle name="Output 19 2 11 2" xfId="3992" xr:uid="{00000000-0005-0000-0000-0000A6290000}"/>
    <cellStyle name="Output 19 2 11 2 2" xfId="7562" xr:uid="{00000000-0005-0000-0000-0000A7290000}"/>
    <cellStyle name="Output 19 2 11 2 3" xfId="9522" xr:uid="{00000000-0005-0000-0000-0000A8290000}"/>
    <cellStyle name="Output 19 2 11 2 4" xfId="10819" xr:uid="{00000000-0005-0000-0000-0000A9290000}"/>
    <cellStyle name="Output 19 2 11 3" xfId="6125" xr:uid="{00000000-0005-0000-0000-0000AA290000}"/>
    <cellStyle name="Output 19 2 11 4" xfId="4652" xr:uid="{00000000-0005-0000-0000-0000AB290000}"/>
    <cellStyle name="Output 19 2 11 5" xfId="11901" xr:uid="{00000000-0005-0000-0000-0000AC290000}"/>
    <cellStyle name="Output 19 2 12" xfId="2746" xr:uid="{00000000-0005-0000-0000-0000AD290000}"/>
    <cellStyle name="Output 19 2 12 2" xfId="6329" xr:uid="{00000000-0005-0000-0000-0000AE290000}"/>
    <cellStyle name="Output 19 2 12 3" xfId="8341" xr:uid="{00000000-0005-0000-0000-0000AF290000}"/>
    <cellStyle name="Output 19 2 12 4" xfId="9678" xr:uid="{00000000-0005-0000-0000-0000B0290000}"/>
    <cellStyle name="Output 19 2 13" xfId="4840" xr:uid="{00000000-0005-0000-0000-0000B1290000}"/>
    <cellStyle name="Output 19 2 14" xfId="4124" xr:uid="{00000000-0005-0000-0000-0000B2290000}"/>
    <cellStyle name="Output 19 2 15" xfId="7820" xr:uid="{00000000-0005-0000-0000-0000B3290000}"/>
    <cellStyle name="Output 19 2 2" xfId="1782" xr:uid="{00000000-0005-0000-0000-0000B4290000}"/>
    <cellStyle name="Output 19 2 2 2" xfId="3259" xr:uid="{00000000-0005-0000-0000-0000B5290000}"/>
    <cellStyle name="Output 19 2 2 2 2" xfId="6832" xr:uid="{00000000-0005-0000-0000-0000B6290000}"/>
    <cellStyle name="Output 19 2 2 2 3" xfId="8808" xr:uid="{00000000-0005-0000-0000-0000B7290000}"/>
    <cellStyle name="Output 19 2 2 2 4" xfId="10109" xr:uid="{00000000-0005-0000-0000-0000B8290000}"/>
    <cellStyle name="Output 19 2 2 3" xfId="5374" xr:uid="{00000000-0005-0000-0000-0000B9290000}"/>
    <cellStyle name="Output 19 2 2 4" xfId="6897" xr:uid="{00000000-0005-0000-0000-0000BA290000}"/>
    <cellStyle name="Output 19 2 2 5" xfId="11186" xr:uid="{00000000-0005-0000-0000-0000BB290000}"/>
    <cellStyle name="Output 19 2 3" xfId="1948" xr:uid="{00000000-0005-0000-0000-0000BC290000}"/>
    <cellStyle name="Output 19 2 3 2" xfId="3412" xr:uid="{00000000-0005-0000-0000-0000BD290000}"/>
    <cellStyle name="Output 19 2 3 2 2" xfId="6982" xr:uid="{00000000-0005-0000-0000-0000BE290000}"/>
    <cellStyle name="Output 19 2 3 2 3" xfId="8948" xr:uid="{00000000-0005-0000-0000-0000BF290000}"/>
    <cellStyle name="Output 19 2 3 2 4" xfId="10239" xr:uid="{00000000-0005-0000-0000-0000C0290000}"/>
    <cellStyle name="Output 19 2 3 3" xfId="5536" xr:uid="{00000000-0005-0000-0000-0000C1290000}"/>
    <cellStyle name="Output 19 2 3 4" xfId="7933" xr:uid="{00000000-0005-0000-0000-0000C2290000}"/>
    <cellStyle name="Output 19 2 3 5" xfId="11317" xr:uid="{00000000-0005-0000-0000-0000C3290000}"/>
    <cellStyle name="Output 19 2 4" xfId="2018" xr:uid="{00000000-0005-0000-0000-0000C4290000}"/>
    <cellStyle name="Output 19 2 4 2" xfId="3481" xr:uid="{00000000-0005-0000-0000-0000C5290000}"/>
    <cellStyle name="Output 19 2 4 2 2" xfId="7051" xr:uid="{00000000-0005-0000-0000-0000C6290000}"/>
    <cellStyle name="Output 19 2 4 2 3" xfId="9017" xr:uid="{00000000-0005-0000-0000-0000C7290000}"/>
    <cellStyle name="Output 19 2 4 2 4" xfId="10308" xr:uid="{00000000-0005-0000-0000-0000C8290000}"/>
    <cellStyle name="Output 19 2 4 3" xfId="5606" xr:uid="{00000000-0005-0000-0000-0000C9290000}"/>
    <cellStyle name="Output 19 2 4 4" xfId="7788" xr:uid="{00000000-0005-0000-0000-0000CA290000}"/>
    <cellStyle name="Output 19 2 4 5" xfId="11386" xr:uid="{00000000-0005-0000-0000-0000CB290000}"/>
    <cellStyle name="Output 19 2 5" xfId="2086" xr:uid="{00000000-0005-0000-0000-0000CC290000}"/>
    <cellStyle name="Output 19 2 5 2" xfId="3546" xr:uid="{00000000-0005-0000-0000-0000CD290000}"/>
    <cellStyle name="Output 19 2 5 2 2" xfId="7116" xr:uid="{00000000-0005-0000-0000-0000CE290000}"/>
    <cellStyle name="Output 19 2 5 2 3" xfId="9082" xr:uid="{00000000-0005-0000-0000-0000CF290000}"/>
    <cellStyle name="Output 19 2 5 2 4" xfId="10373" xr:uid="{00000000-0005-0000-0000-0000D0290000}"/>
    <cellStyle name="Output 19 2 5 3" xfId="5674" xr:uid="{00000000-0005-0000-0000-0000D1290000}"/>
    <cellStyle name="Output 19 2 5 4" xfId="4077" xr:uid="{00000000-0005-0000-0000-0000D2290000}"/>
    <cellStyle name="Output 19 2 5 5" xfId="11453" xr:uid="{00000000-0005-0000-0000-0000D3290000}"/>
    <cellStyle name="Output 19 2 6" xfId="2154" xr:uid="{00000000-0005-0000-0000-0000D4290000}"/>
    <cellStyle name="Output 19 2 6 2" xfId="3613" xr:uid="{00000000-0005-0000-0000-0000D5290000}"/>
    <cellStyle name="Output 19 2 6 2 2" xfId="7183" xr:uid="{00000000-0005-0000-0000-0000D6290000}"/>
    <cellStyle name="Output 19 2 6 2 3" xfId="9148" xr:uid="{00000000-0005-0000-0000-0000D7290000}"/>
    <cellStyle name="Output 19 2 6 2 4" xfId="10440" xr:uid="{00000000-0005-0000-0000-0000D8290000}"/>
    <cellStyle name="Output 19 2 6 3" xfId="5742" xr:uid="{00000000-0005-0000-0000-0000D9290000}"/>
    <cellStyle name="Output 19 2 6 4" xfId="4876" xr:uid="{00000000-0005-0000-0000-0000DA290000}"/>
    <cellStyle name="Output 19 2 6 5" xfId="11520" xr:uid="{00000000-0005-0000-0000-0000DB290000}"/>
    <cellStyle name="Output 19 2 7" xfId="2226" xr:uid="{00000000-0005-0000-0000-0000DC290000}"/>
    <cellStyle name="Output 19 2 7 2" xfId="3685" xr:uid="{00000000-0005-0000-0000-0000DD290000}"/>
    <cellStyle name="Output 19 2 7 2 2" xfId="7255" xr:uid="{00000000-0005-0000-0000-0000DE290000}"/>
    <cellStyle name="Output 19 2 7 2 3" xfId="9220" xr:uid="{00000000-0005-0000-0000-0000DF290000}"/>
    <cellStyle name="Output 19 2 7 2 4" xfId="10512" xr:uid="{00000000-0005-0000-0000-0000E0290000}"/>
    <cellStyle name="Output 19 2 7 3" xfId="5814" xr:uid="{00000000-0005-0000-0000-0000E1290000}"/>
    <cellStyle name="Output 19 2 7 4" xfId="4522" xr:uid="{00000000-0005-0000-0000-0000E2290000}"/>
    <cellStyle name="Output 19 2 7 5" xfId="11592" xr:uid="{00000000-0005-0000-0000-0000E3290000}"/>
    <cellStyle name="Output 19 2 8" xfId="2323" xr:uid="{00000000-0005-0000-0000-0000E4290000}"/>
    <cellStyle name="Output 19 2 8 2" xfId="3780" xr:uid="{00000000-0005-0000-0000-0000E5290000}"/>
    <cellStyle name="Output 19 2 8 2 2" xfId="7350" xr:uid="{00000000-0005-0000-0000-0000E6290000}"/>
    <cellStyle name="Output 19 2 8 2 3" xfId="9313" xr:uid="{00000000-0005-0000-0000-0000E7290000}"/>
    <cellStyle name="Output 19 2 8 2 4" xfId="10607" xr:uid="{00000000-0005-0000-0000-0000E8290000}"/>
    <cellStyle name="Output 19 2 8 3" xfId="5911" xr:uid="{00000000-0005-0000-0000-0000E9290000}"/>
    <cellStyle name="Output 19 2 8 4" xfId="4571" xr:uid="{00000000-0005-0000-0000-0000EA290000}"/>
    <cellStyle name="Output 19 2 8 5" xfId="11688" xr:uid="{00000000-0005-0000-0000-0000EB290000}"/>
    <cellStyle name="Output 19 2 9" xfId="2415" xr:uid="{00000000-0005-0000-0000-0000EC290000}"/>
    <cellStyle name="Output 19 2 9 2" xfId="3871" xr:uid="{00000000-0005-0000-0000-0000ED290000}"/>
    <cellStyle name="Output 19 2 9 2 2" xfId="7441" xr:uid="{00000000-0005-0000-0000-0000EE290000}"/>
    <cellStyle name="Output 19 2 9 2 3" xfId="9403" xr:uid="{00000000-0005-0000-0000-0000EF290000}"/>
    <cellStyle name="Output 19 2 9 2 4" xfId="10698" xr:uid="{00000000-0005-0000-0000-0000F0290000}"/>
    <cellStyle name="Output 19 2 9 3" xfId="6003" xr:uid="{00000000-0005-0000-0000-0000F1290000}"/>
    <cellStyle name="Output 19 2 9 4" xfId="4044" xr:uid="{00000000-0005-0000-0000-0000F2290000}"/>
    <cellStyle name="Output 19 2 9 5" xfId="11779" xr:uid="{00000000-0005-0000-0000-0000F3290000}"/>
    <cellStyle name="Output 19 3" xfId="1602" xr:uid="{00000000-0005-0000-0000-0000F4290000}"/>
    <cellStyle name="Output 19 3 2" xfId="3085" xr:uid="{00000000-0005-0000-0000-0000F5290000}"/>
    <cellStyle name="Output 19 3 2 2" xfId="6662" xr:uid="{00000000-0005-0000-0000-0000F6290000}"/>
    <cellStyle name="Output 19 3 2 3" xfId="8650" xr:uid="{00000000-0005-0000-0000-0000F7290000}"/>
    <cellStyle name="Output 19 3 2 4" xfId="9966" xr:uid="{00000000-0005-0000-0000-0000F8290000}"/>
    <cellStyle name="Output 19 3 3" xfId="5199" xr:uid="{00000000-0005-0000-0000-0000F9290000}"/>
    <cellStyle name="Output 19 3 4" xfId="7845" xr:uid="{00000000-0005-0000-0000-0000FA290000}"/>
    <cellStyle name="Output 19 3 5" xfId="11048" xr:uid="{00000000-0005-0000-0000-0000FB290000}"/>
    <cellStyle name="Output 19 4" xfId="1357" xr:uid="{00000000-0005-0000-0000-0000FC290000}"/>
    <cellStyle name="Output 19 4 2" xfId="2853" xr:uid="{00000000-0005-0000-0000-0000FD290000}"/>
    <cellStyle name="Output 19 4 2 2" xfId="6432" xr:uid="{00000000-0005-0000-0000-0000FE290000}"/>
    <cellStyle name="Output 19 4 2 3" xfId="8433" xr:uid="{00000000-0005-0000-0000-0000FF290000}"/>
    <cellStyle name="Output 19 4 2 4" xfId="9758" xr:uid="{00000000-0005-0000-0000-0000002A0000}"/>
    <cellStyle name="Output 19 4 3" xfId="4955" xr:uid="{00000000-0005-0000-0000-0000012A0000}"/>
    <cellStyle name="Output 19 4 4" xfId="7910" xr:uid="{00000000-0005-0000-0000-0000022A0000}"/>
    <cellStyle name="Output 19 4 5" xfId="10840" xr:uid="{00000000-0005-0000-0000-0000032A0000}"/>
    <cellStyle name="Output 19 5" xfId="2164" xr:uid="{00000000-0005-0000-0000-0000042A0000}"/>
    <cellStyle name="Output 19 5 2" xfId="3623" xr:uid="{00000000-0005-0000-0000-0000052A0000}"/>
    <cellStyle name="Output 19 5 2 2" xfId="7193" xr:uid="{00000000-0005-0000-0000-0000062A0000}"/>
    <cellStyle name="Output 19 5 2 3" xfId="9158" xr:uid="{00000000-0005-0000-0000-0000072A0000}"/>
    <cellStyle name="Output 19 5 2 4" xfId="10450" xr:uid="{00000000-0005-0000-0000-0000082A0000}"/>
    <cellStyle name="Output 19 5 3" xfId="5752" xr:uid="{00000000-0005-0000-0000-0000092A0000}"/>
    <cellStyle name="Output 19 5 4" xfId="4506" xr:uid="{00000000-0005-0000-0000-00000A2A0000}"/>
    <cellStyle name="Output 19 5 5" xfId="11530" xr:uid="{00000000-0005-0000-0000-00000B2A0000}"/>
    <cellStyle name="Output 19 6" xfId="2627" xr:uid="{00000000-0005-0000-0000-00000C2A0000}"/>
    <cellStyle name="Output 19 6 2" xfId="6215" xr:uid="{00000000-0005-0000-0000-00000D2A0000}"/>
    <cellStyle name="Output 19 6 3" xfId="8239" xr:uid="{00000000-0005-0000-0000-00000E2A0000}"/>
    <cellStyle name="Output 19 6 4" xfId="9589" xr:uid="{00000000-0005-0000-0000-00000F2A0000}"/>
    <cellStyle name="Output 19 7" xfId="4613" xr:uid="{00000000-0005-0000-0000-0000102A0000}"/>
    <cellStyle name="Output 19 8" xfId="4263" xr:uid="{00000000-0005-0000-0000-0000112A0000}"/>
    <cellStyle name="Output 19 9" xfId="4716" xr:uid="{00000000-0005-0000-0000-0000122A0000}"/>
    <cellStyle name="Output 2" xfId="189" xr:uid="{00000000-0005-0000-0000-0000132A0000}"/>
    <cellStyle name="Output 2 10" xfId="4238" xr:uid="{00000000-0005-0000-0000-0000142A0000}"/>
    <cellStyle name="Output 2 2" xfId="1127" xr:uid="{00000000-0005-0000-0000-0000152A0000}"/>
    <cellStyle name="Output 2 2 10" xfId="2241" xr:uid="{00000000-0005-0000-0000-0000162A0000}"/>
    <cellStyle name="Output 2 2 10 2" xfId="3698" xr:uid="{00000000-0005-0000-0000-0000172A0000}"/>
    <cellStyle name="Output 2 2 10 2 2" xfId="7268" xr:uid="{00000000-0005-0000-0000-0000182A0000}"/>
    <cellStyle name="Output 2 2 10 2 3" xfId="9233" xr:uid="{00000000-0005-0000-0000-0000192A0000}"/>
    <cellStyle name="Output 2 2 10 2 4" xfId="10525" xr:uid="{00000000-0005-0000-0000-00001A2A0000}"/>
    <cellStyle name="Output 2 2 10 3" xfId="5829" xr:uid="{00000000-0005-0000-0000-00001B2A0000}"/>
    <cellStyle name="Output 2 2 10 4" xfId="4535" xr:uid="{00000000-0005-0000-0000-00001C2A0000}"/>
    <cellStyle name="Output 2 2 10 5" xfId="11607" xr:uid="{00000000-0005-0000-0000-00001D2A0000}"/>
    <cellStyle name="Output 2 2 11" xfId="1345" xr:uid="{00000000-0005-0000-0000-00001E2A0000}"/>
    <cellStyle name="Output 2 2 11 2" xfId="2843" xr:uid="{00000000-0005-0000-0000-00001F2A0000}"/>
    <cellStyle name="Output 2 2 11 2 2" xfId="6422" xr:uid="{00000000-0005-0000-0000-0000202A0000}"/>
    <cellStyle name="Output 2 2 11 2 3" xfId="8423" xr:uid="{00000000-0005-0000-0000-0000212A0000}"/>
    <cellStyle name="Output 2 2 11 2 4" xfId="9748" xr:uid="{00000000-0005-0000-0000-0000222A0000}"/>
    <cellStyle name="Output 2 2 11 3" xfId="4943" xr:uid="{00000000-0005-0000-0000-0000232A0000}"/>
    <cellStyle name="Output 2 2 11 4" xfId="7814" xr:uid="{00000000-0005-0000-0000-0000242A0000}"/>
    <cellStyle name="Output 2 2 11 5" xfId="10829" xr:uid="{00000000-0005-0000-0000-0000252A0000}"/>
    <cellStyle name="Output 2 2 12" xfId="2658" xr:uid="{00000000-0005-0000-0000-0000262A0000}"/>
    <cellStyle name="Output 2 2 12 2" xfId="6243" xr:uid="{00000000-0005-0000-0000-0000272A0000}"/>
    <cellStyle name="Output 2 2 12 3" xfId="8259" xr:uid="{00000000-0005-0000-0000-0000282A0000}"/>
    <cellStyle name="Output 2 2 12 4" xfId="9600" xr:uid="{00000000-0005-0000-0000-0000292A0000}"/>
    <cellStyle name="Output 2 2 13" xfId="4728" xr:uid="{00000000-0005-0000-0000-00002A2A0000}"/>
    <cellStyle name="Output 2 2 14" xfId="4219" xr:uid="{00000000-0005-0000-0000-00002B2A0000}"/>
    <cellStyle name="Output 2 2 15" xfId="7753" xr:uid="{00000000-0005-0000-0000-00002C2A0000}"/>
    <cellStyle name="Output 2 2 2" xfId="1682" xr:uid="{00000000-0005-0000-0000-00002D2A0000}"/>
    <cellStyle name="Output 2 2 2 2" xfId="3160" xr:uid="{00000000-0005-0000-0000-00002E2A0000}"/>
    <cellStyle name="Output 2 2 2 2 2" xfId="6734" xr:uid="{00000000-0005-0000-0000-00002F2A0000}"/>
    <cellStyle name="Output 2 2 2 2 3" xfId="8715" xr:uid="{00000000-0005-0000-0000-0000302A0000}"/>
    <cellStyle name="Output 2 2 2 2 4" xfId="10020" xr:uid="{00000000-0005-0000-0000-0000312A0000}"/>
    <cellStyle name="Output 2 2 2 3" xfId="5274" xr:uid="{00000000-0005-0000-0000-0000322A0000}"/>
    <cellStyle name="Output 2 2 2 4" xfId="4369" xr:uid="{00000000-0005-0000-0000-0000332A0000}"/>
    <cellStyle name="Output 2 2 2 5" xfId="11097" xr:uid="{00000000-0005-0000-0000-0000342A0000}"/>
    <cellStyle name="Output 2 2 3" xfId="1852" xr:uid="{00000000-0005-0000-0000-0000352A0000}"/>
    <cellStyle name="Output 2 2 3 2" xfId="3324" xr:uid="{00000000-0005-0000-0000-0000362A0000}"/>
    <cellStyle name="Output 2 2 3 2 2" xfId="6894" xr:uid="{00000000-0005-0000-0000-0000372A0000}"/>
    <cellStyle name="Output 2 2 3 2 3" xfId="8862" xr:uid="{00000000-0005-0000-0000-0000382A0000}"/>
    <cellStyle name="Output 2 2 3 2 4" xfId="10153" xr:uid="{00000000-0005-0000-0000-0000392A0000}"/>
    <cellStyle name="Output 2 2 3 3" xfId="5441" xr:uid="{00000000-0005-0000-0000-00003A2A0000}"/>
    <cellStyle name="Output 2 2 3 4" xfId="8821" xr:uid="{00000000-0005-0000-0000-00003B2A0000}"/>
    <cellStyle name="Output 2 2 3 5" xfId="11231" xr:uid="{00000000-0005-0000-0000-00003C2A0000}"/>
    <cellStyle name="Output 2 2 4" xfId="1566" xr:uid="{00000000-0005-0000-0000-00003D2A0000}"/>
    <cellStyle name="Output 2 2 4 2" xfId="3049" xr:uid="{00000000-0005-0000-0000-00003E2A0000}"/>
    <cellStyle name="Output 2 2 4 2 2" xfId="6626" xr:uid="{00000000-0005-0000-0000-00003F2A0000}"/>
    <cellStyle name="Output 2 2 4 2 3" xfId="8616" xr:uid="{00000000-0005-0000-0000-0000402A0000}"/>
    <cellStyle name="Output 2 2 4 2 4" xfId="9933" xr:uid="{00000000-0005-0000-0000-0000412A0000}"/>
    <cellStyle name="Output 2 2 4 3" xfId="5163" xr:uid="{00000000-0005-0000-0000-0000422A0000}"/>
    <cellStyle name="Output 2 2 4 4" xfId="8531" xr:uid="{00000000-0005-0000-0000-0000432A0000}"/>
    <cellStyle name="Output 2 2 4 5" xfId="11015" xr:uid="{00000000-0005-0000-0000-0000442A0000}"/>
    <cellStyle name="Output 2 2 5" xfId="1324" xr:uid="{00000000-0005-0000-0000-0000452A0000}"/>
    <cellStyle name="Output 2 2 5 2" xfId="2823" xr:uid="{00000000-0005-0000-0000-0000462A0000}"/>
    <cellStyle name="Output 2 2 5 2 2" xfId="6402" xr:uid="{00000000-0005-0000-0000-0000472A0000}"/>
    <cellStyle name="Output 2 2 5 2 3" xfId="8405" xr:uid="{00000000-0005-0000-0000-0000482A0000}"/>
    <cellStyle name="Output 2 2 5 2 4" xfId="9728" xr:uid="{00000000-0005-0000-0000-0000492A0000}"/>
    <cellStyle name="Output 2 2 5 3" xfId="4922" xr:uid="{00000000-0005-0000-0000-00004A2A0000}"/>
    <cellStyle name="Output 2 2 5 4" xfId="7691" xr:uid="{00000000-0005-0000-0000-00004B2A0000}"/>
    <cellStyle name="Output 2 2 5 5" xfId="4241" xr:uid="{00000000-0005-0000-0000-00004C2A0000}"/>
    <cellStyle name="Output 2 2 6" xfId="1475" xr:uid="{00000000-0005-0000-0000-00004D2A0000}"/>
    <cellStyle name="Output 2 2 6 2" xfId="2960" xr:uid="{00000000-0005-0000-0000-00004E2A0000}"/>
    <cellStyle name="Output 2 2 6 2 2" xfId="6537" xr:uid="{00000000-0005-0000-0000-00004F2A0000}"/>
    <cellStyle name="Output 2 2 6 2 3" xfId="8538" xr:uid="{00000000-0005-0000-0000-0000502A0000}"/>
    <cellStyle name="Output 2 2 6 2 4" xfId="9861" xr:uid="{00000000-0005-0000-0000-0000512A0000}"/>
    <cellStyle name="Output 2 2 6 3" xfId="5072" xr:uid="{00000000-0005-0000-0000-0000522A0000}"/>
    <cellStyle name="Output 2 2 6 4" xfId="7678" xr:uid="{00000000-0005-0000-0000-0000532A0000}"/>
    <cellStyle name="Output 2 2 6 5" xfId="10942" xr:uid="{00000000-0005-0000-0000-0000542A0000}"/>
    <cellStyle name="Output 2 2 7" xfId="1830" xr:uid="{00000000-0005-0000-0000-0000552A0000}"/>
    <cellStyle name="Output 2 2 7 2" xfId="3307" xr:uid="{00000000-0005-0000-0000-0000562A0000}"/>
    <cellStyle name="Output 2 2 7 2 2" xfId="6877" xr:uid="{00000000-0005-0000-0000-0000572A0000}"/>
    <cellStyle name="Output 2 2 7 2 3" xfId="8845" xr:uid="{00000000-0005-0000-0000-0000582A0000}"/>
    <cellStyle name="Output 2 2 7 2 4" xfId="10137" xr:uid="{00000000-0005-0000-0000-0000592A0000}"/>
    <cellStyle name="Output 2 2 7 3" xfId="5419" xr:uid="{00000000-0005-0000-0000-00005A2A0000}"/>
    <cellStyle name="Output 2 2 7 4" xfId="4429" xr:uid="{00000000-0005-0000-0000-00005B2A0000}"/>
    <cellStyle name="Output 2 2 7 5" xfId="11214" xr:uid="{00000000-0005-0000-0000-00005C2A0000}"/>
    <cellStyle name="Output 2 2 8" xfId="2245" xr:uid="{00000000-0005-0000-0000-00005D2A0000}"/>
    <cellStyle name="Output 2 2 8 2" xfId="3702" xr:uid="{00000000-0005-0000-0000-00005E2A0000}"/>
    <cellStyle name="Output 2 2 8 2 2" xfId="7272" xr:uid="{00000000-0005-0000-0000-00005F2A0000}"/>
    <cellStyle name="Output 2 2 8 2 3" xfId="9237" xr:uid="{00000000-0005-0000-0000-0000602A0000}"/>
    <cellStyle name="Output 2 2 8 2 4" xfId="10529" xr:uid="{00000000-0005-0000-0000-0000612A0000}"/>
    <cellStyle name="Output 2 2 8 3" xfId="5833" xr:uid="{00000000-0005-0000-0000-0000622A0000}"/>
    <cellStyle name="Output 2 2 8 4" xfId="4539" xr:uid="{00000000-0005-0000-0000-0000632A0000}"/>
    <cellStyle name="Output 2 2 8 5" xfId="11611" xr:uid="{00000000-0005-0000-0000-0000642A0000}"/>
    <cellStyle name="Output 2 2 9" xfId="2337" xr:uid="{00000000-0005-0000-0000-0000652A0000}"/>
    <cellStyle name="Output 2 2 9 2" xfId="3793" xr:uid="{00000000-0005-0000-0000-0000662A0000}"/>
    <cellStyle name="Output 2 2 9 2 2" xfId="7363" xr:uid="{00000000-0005-0000-0000-0000672A0000}"/>
    <cellStyle name="Output 2 2 9 2 3" xfId="9326" xr:uid="{00000000-0005-0000-0000-0000682A0000}"/>
    <cellStyle name="Output 2 2 9 2 4" xfId="10620" xr:uid="{00000000-0005-0000-0000-0000692A0000}"/>
    <cellStyle name="Output 2 2 9 3" xfId="5925" xr:uid="{00000000-0005-0000-0000-00006A2A0000}"/>
    <cellStyle name="Output 2 2 9 4" xfId="4808" xr:uid="{00000000-0005-0000-0000-00006B2A0000}"/>
    <cellStyle name="Output 2 2 9 5" xfId="11702" xr:uid="{00000000-0005-0000-0000-00006C2A0000}"/>
    <cellStyle name="Output 2 3" xfId="1289" xr:uid="{00000000-0005-0000-0000-00006D2A0000}"/>
    <cellStyle name="Output 2 3 2" xfId="2789" xr:uid="{00000000-0005-0000-0000-00006E2A0000}"/>
    <cellStyle name="Output 2 3 2 2" xfId="6368" xr:uid="{00000000-0005-0000-0000-00006F2A0000}"/>
    <cellStyle name="Output 2 3 2 3" xfId="8375" xr:uid="{00000000-0005-0000-0000-0000702A0000}"/>
    <cellStyle name="Output 2 3 2 4" xfId="9700" xr:uid="{00000000-0005-0000-0000-0000712A0000}"/>
    <cellStyle name="Output 2 3 3" xfId="4887" xr:uid="{00000000-0005-0000-0000-0000722A0000}"/>
    <cellStyle name="Output 2 3 4" xfId="7976" xr:uid="{00000000-0005-0000-0000-0000732A0000}"/>
    <cellStyle name="Output 2 3 5" xfId="4248" xr:uid="{00000000-0005-0000-0000-0000742A0000}"/>
    <cellStyle name="Output 2 4" xfId="1634" xr:uid="{00000000-0005-0000-0000-0000752A0000}"/>
    <cellStyle name="Output 2 4 2" xfId="3115" xr:uid="{00000000-0005-0000-0000-0000762A0000}"/>
    <cellStyle name="Output 2 4 2 2" xfId="6691" xr:uid="{00000000-0005-0000-0000-0000772A0000}"/>
    <cellStyle name="Output 2 4 2 3" xfId="8678" xr:uid="{00000000-0005-0000-0000-0000782A0000}"/>
    <cellStyle name="Output 2 4 2 4" xfId="9991" xr:uid="{00000000-0005-0000-0000-0000792A0000}"/>
    <cellStyle name="Output 2 4 3" xfId="5228" xr:uid="{00000000-0005-0000-0000-00007A2A0000}"/>
    <cellStyle name="Output 2 4 4" xfId="7745" xr:uid="{00000000-0005-0000-0000-00007B2A0000}"/>
    <cellStyle name="Output 2 4 5" xfId="8282" xr:uid="{00000000-0005-0000-0000-00007C2A0000}"/>
    <cellStyle name="Output 2 5" xfId="1651" xr:uid="{00000000-0005-0000-0000-00007D2A0000}"/>
    <cellStyle name="Output 2 5 2" xfId="3129" xr:uid="{00000000-0005-0000-0000-00007E2A0000}"/>
    <cellStyle name="Output 2 5 2 2" xfId="6705" xr:uid="{00000000-0005-0000-0000-00007F2A0000}"/>
    <cellStyle name="Output 2 5 2 3" xfId="8692" xr:uid="{00000000-0005-0000-0000-0000802A0000}"/>
    <cellStyle name="Output 2 5 2 4" xfId="10005" xr:uid="{00000000-0005-0000-0000-0000812A0000}"/>
    <cellStyle name="Output 2 5 3" xfId="5245" xr:uid="{00000000-0005-0000-0000-0000822A0000}"/>
    <cellStyle name="Output 2 5 4" xfId="8828" xr:uid="{00000000-0005-0000-0000-0000832A0000}"/>
    <cellStyle name="Output 2 5 5" xfId="11083" xr:uid="{00000000-0005-0000-0000-0000842A0000}"/>
    <cellStyle name="Output 2 6" xfId="1348" xr:uid="{00000000-0005-0000-0000-0000852A0000}"/>
    <cellStyle name="Output 2 6 2" xfId="2845" xr:uid="{00000000-0005-0000-0000-0000862A0000}"/>
    <cellStyle name="Output 2 6 2 2" xfId="6424" xr:uid="{00000000-0005-0000-0000-0000872A0000}"/>
    <cellStyle name="Output 2 6 2 3" xfId="8425" xr:uid="{00000000-0005-0000-0000-0000882A0000}"/>
    <cellStyle name="Output 2 6 2 4" xfId="9750" xr:uid="{00000000-0005-0000-0000-0000892A0000}"/>
    <cellStyle name="Output 2 6 3" xfId="4946" xr:uid="{00000000-0005-0000-0000-00008A2A0000}"/>
    <cellStyle name="Output 2 6 4" xfId="4103" xr:uid="{00000000-0005-0000-0000-00008B2A0000}"/>
    <cellStyle name="Output 2 6 5" xfId="10832" xr:uid="{00000000-0005-0000-0000-00008C2A0000}"/>
    <cellStyle name="Output 2 7" xfId="2549" xr:uid="{00000000-0005-0000-0000-00008D2A0000}"/>
    <cellStyle name="Output 2 7 2" xfId="6137" xr:uid="{00000000-0005-0000-0000-00008E2A0000}"/>
    <cellStyle name="Output 2 7 3" xfId="8166" xr:uid="{00000000-0005-0000-0000-00008F2A0000}"/>
    <cellStyle name="Output 2 7 4" xfId="4655" xr:uid="{00000000-0005-0000-0000-0000902A0000}"/>
    <cellStyle name="Output 2 8" xfId="4030" xr:uid="{00000000-0005-0000-0000-0000912A0000}"/>
    <cellStyle name="Output 2 9" xfId="4661" xr:uid="{00000000-0005-0000-0000-0000922A0000}"/>
    <cellStyle name="Output 3" xfId="998" xr:uid="{00000000-0005-0000-0000-0000932A0000}"/>
    <cellStyle name="Output 3 2" xfId="1242" xr:uid="{00000000-0005-0000-0000-0000942A0000}"/>
    <cellStyle name="Output 3 2 10" xfId="2485" xr:uid="{00000000-0005-0000-0000-0000952A0000}"/>
    <cellStyle name="Output 3 2 10 2" xfId="3940" xr:uid="{00000000-0005-0000-0000-0000962A0000}"/>
    <cellStyle name="Output 3 2 10 2 2" xfId="7510" xr:uid="{00000000-0005-0000-0000-0000972A0000}"/>
    <cellStyle name="Output 3 2 10 2 3" xfId="9470" xr:uid="{00000000-0005-0000-0000-0000982A0000}"/>
    <cellStyle name="Output 3 2 10 2 4" xfId="10767" xr:uid="{00000000-0005-0000-0000-0000992A0000}"/>
    <cellStyle name="Output 3 2 10 3" xfId="6073" xr:uid="{00000000-0005-0000-0000-00009A2A0000}"/>
    <cellStyle name="Output 3 2 10 4" xfId="4622" xr:uid="{00000000-0005-0000-0000-00009B2A0000}"/>
    <cellStyle name="Output 3 2 10 5" xfId="11849" xr:uid="{00000000-0005-0000-0000-00009C2A0000}"/>
    <cellStyle name="Output 3 2 11" xfId="2538" xr:uid="{00000000-0005-0000-0000-00009D2A0000}"/>
    <cellStyle name="Output 3 2 11 2" xfId="3993" xr:uid="{00000000-0005-0000-0000-00009E2A0000}"/>
    <cellStyle name="Output 3 2 11 2 2" xfId="7563" xr:uid="{00000000-0005-0000-0000-00009F2A0000}"/>
    <cellStyle name="Output 3 2 11 2 3" xfId="9523" xr:uid="{00000000-0005-0000-0000-0000A02A0000}"/>
    <cellStyle name="Output 3 2 11 2 4" xfId="10820" xr:uid="{00000000-0005-0000-0000-0000A12A0000}"/>
    <cellStyle name="Output 3 2 11 3" xfId="6126" xr:uid="{00000000-0005-0000-0000-0000A22A0000}"/>
    <cellStyle name="Output 3 2 11 4" xfId="4653" xr:uid="{00000000-0005-0000-0000-0000A32A0000}"/>
    <cellStyle name="Output 3 2 11 5" xfId="11902" xr:uid="{00000000-0005-0000-0000-0000A42A0000}"/>
    <cellStyle name="Output 3 2 12" xfId="2747" xr:uid="{00000000-0005-0000-0000-0000A52A0000}"/>
    <cellStyle name="Output 3 2 12 2" xfId="6330" xr:uid="{00000000-0005-0000-0000-0000A62A0000}"/>
    <cellStyle name="Output 3 2 12 3" xfId="8342" xr:uid="{00000000-0005-0000-0000-0000A72A0000}"/>
    <cellStyle name="Output 3 2 12 4" xfId="9679" xr:uid="{00000000-0005-0000-0000-0000A82A0000}"/>
    <cellStyle name="Output 3 2 13" xfId="4841" xr:uid="{00000000-0005-0000-0000-0000A92A0000}"/>
    <cellStyle name="Output 3 2 14" xfId="786" xr:uid="{00000000-0005-0000-0000-0000AA2A0000}"/>
    <cellStyle name="Output 3 2 15" xfId="8141" xr:uid="{00000000-0005-0000-0000-0000AB2A0000}"/>
    <cellStyle name="Output 3 2 2" xfId="1783" xr:uid="{00000000-0005-0000-0000-0000AC2A0000}"/>
    <cellStyle name="Output 3 2 2 2" xfId="3260" xr:uid="{00000000-0005-0000-0000-0000AD2A0000}"/>
    <cellStyle name="Output 3 2 2 2 2" xfId="6833" xr:uid="{00000000-0005-0000-0000-0000AE2A0000}"/>
    <cellStyle name="Output 3 2 2 2 3" xfId="8809" xr:uid="{00000000-0005-0000-0000-0000AF2A0000}"/>
    <cellStyle name="Output 3 2 2 2 4" xfId="10110" xr:uid="{00000000-0005-0000-0000-0000B02A0000}"/>
    <cellStyle name="Output 3 2 2 3" xfId="5375" xr:uid="{00000000-0005-0000-0000-0000B12A0000}"/>
    <cellStyle name="Output 3 2 2 4" xfId="5005" xr:uid="{00000000-0005-0000-0000-0000B22A0000}"/>
    <cellStyle name="Output 3 2 2 5" xfId="11187" xr:uid="{00000000-0005-0000-0000-0000B32A0000}"/>
    <cellStyle name="Output 3 2 3" xfId="1949" xr:uid="{00000000-0005-0000-0000-0000B42A0000}"/>
    <cellStyle name="Output 3 2 3 2" xfId="3413" xr:uid="{00000000-0005-0000-0000-0000B52A0000}"/>
    <cellStyle name="Output 3 2 3 2 2" xfId="6983" xr:uid="{00000000-0005-0000-0000-0000B62A0000}"/>
    <cellStyle name="Output 3 2 3 2 3" xfId="8949" xr:uid="{00000000-0005-0000-0000-0000B72A0000}"/>
    <cellStyle name="Output 3 2 3 2 4" xfId="10240" xr:uid="{00000000-0005-0000-0000-0000B82A0000}"/>
    <cellStyle name="Output 3 2 3 3" xfId="5537" xr:uid="{00000000-0005-0000-0000-0000B92A0000}"/>
    <cellStyle name="Output 3 2 3 4" xfId="7927" xr:uid="{00000000-0005-0000-0000-0000BA2A0000}"/>
    <cellStyle name="Output 3 2 3 5" xfId="11318" xr:uid="{00000000-0005-0000-0000-0000BB2A0000}"/>
    <cellStyle name="Output 3 2 4" xfId="2019" xr:uid="{00000000-0005-0000-0000-0000BC2A0000}"/>
    <cellStyle name="Output 3 2 4 2" xfId="3482" xr:uid="{00000000-0005-0000-0000-0000BD2A0000}"/>
    <cellStyle name="Output 3 2 4 2 2" xfId="7052" xr:uid="{00000000-0005-0000-0000-0000BE2A0000}"/>
    <cellStyle name="Output 3 2 4 2 3" xfId="9018" xr:uid="{00000000-0005-0000-0000-0000BF2A0000}"/>
    <cellStyle name="Output 3 2 4 2 4" xfId="10309" xr:uid="{00000000-0005-0000-0000-0000C02A0000}"/>
    <cellStyle name="Output 3 2 4 3" xfId="5607" xr:uid="{00000000-0005-0000-0000-0000C12A0000}"/>
    <cellStyle name="Output 3 2 4 4" xfId="7638" xr:uid="{00000000-0005-0000-0000-0000C22A0000}"/>
    <cellStyle name="Output 3 2 4 5" xfId="11387" xr:uid="{00000000-0005-0000-0000-0000C32A0000}"/>
    <cellStyle name="Output 3 2 5" xfId="2087" xr:uid="{00000000-0005-0000-0000-0000C42A0000}"/>
    <cellStyle name="Output 3 2 5 2" xfId="3547" xr:uid="{00000000-0005-0000-0000-0000C52A0000}"/>
    <cellStyle name="Output 3 2 5 2 2" xfId="7117" xr:uid="{00000000-0005-0000-0000-0000C62A0000}"/>
    <cellStyle name="Output 3 2 5 2 3" xfId="9083" xr:uid="{00000000-0005-0000-0000-0000C72A0000}"/>
    <cellStyle name="Output 3 2 5 2 4" xfId="10374" xr:uid="{00000000-0005-0000-0000-0000C82A0000}"/>
    <cellStyle name="Output 3 2 5 3" xfId="5675" xr:uid="{00000000-0005-0000-0000-0000C92A0000}"/>
    <cellStyle name="Output 3 2 5 4" xfId="7685" xr:uid="{00000000-0005-0000-0000-0000CA2A0000}"/>
    <cellStyle name="Output 3 2 5 5" xfId="11454" xr:uid="{00000000-0005-0000-0000-0000CB2A0000}"/>
    <cellStyle name="Output 3 2 6" xfId="2155" xr:uid="{00000000-0005-0000-0000-0000CC2A0000}"/>
    <cellStyle name="Output 3 2 6 2" xfId="3614" xr:uid="{00000000-0005-0000-0000-0000CD2A0000}"/>
    <cellStyle name="Output 3 2 6 2 2" xfId="7184" xr:uid="{00000000-0005-0000-0000-0000CE2A0000}"/>
    <cellStyle name="Output 3 2 6 2 3" xfId="9149" xr:uid="{00000000-0005-0000-0000-0000CF2A0000}"/>
    <cellStyle name="Output 3 2 6 2 4" xfId="10441" xr:uid="{00000000-0005-0000-0000-0000D02A0000}"/>
    <cellStyle name="Output 3 2 6 3" xfId="5743" xr:uid="{00000000-0005-0000-0000-0000D12A0000}"/>
    <cellStyle name="Output 3 2 6 4" xfId="4504" xr:uid="{00000000-0005-0000-0000-0000D22A0000}"/>
    <cellStyle name="Output 3 2 6 5" xfId="11521" xr:uid="{00000000-0005-0000-0000-0000D32A0000}"/>
    <cellStyle name="Output 3 2 7" xfId="2227" xr:uid="{00000000-0005-0000-0000-0000D42A0000}"/>
    <cellStyle name="Output 3 2 7 2" xfId="3686" xr:uid="{00000000-0005-0000-0000-0000D52A0000}"/>
    <cellStyle name="Output 3 2 7 2 2" xfId="7256" xr:uid="{00000000-0005-0000-0000-0000D62A0000}"/>
    <cellStyle name="Output 3 2 7 2 3" xfId="9221" xr:uid="{00000000-0005-0000-0000-0000D72A0000}"/>
    <cellStyle name="Output 3 2 7 2 4" xfId="10513" xr:uid="{00000000-0005-0000-0000-0000D82A0000}"/>
    <cellStyle name="Output 3 2 7 3" xfId="5815" xr:uid="{00000000-0005-0000-0000-0000D92A0000}"/>
    <cellStyle name="Output 3 2 7 4" xfId="4523" xr:uid="{00000000-0005-0000-0000-0000DA2A0000}"/>
    <cellStyle name="Output 3 2 7 5" xfId="11593" xr:uid="{00000000-0005-0000-0000-0000DB2A0000}"/>
    <cellStyle name="Output 3 2 8" xfId="2324" xr:uid="{00000000-0005-0000-0000-0000DC2A0000}"/>
    <cellStyle name="Output 3 2 8 2" xfId="3781" xr:uid="{00000000-0005-0000-0000-0000DD2A0000}"/>
    <cellStyle name="Output 3 2 8 2 2" xfId="7351" xr:uid="{00000000-0005-0000-0000-0000DE2A0000}"/>
    <cellStyle name="Output 3 2 8 2 3" xfId="9314" xr:uid="{00000000-0005-0000-0000-0000DF2A0000}"/>
    <cellStyle name="Output 3 2 8 2 4" xfId="10608" xr:uid="{00000000-0005-0000-0000-0000E02A0000}"/>
    <cellStyle name="Output 3 2 8 3" xfId="5912" xr:uid="{00000000-0005-0000-0000-0000E12A0000}"/>
    <cellStyle name="Output 3 2 8 4" xfId="4805" xr:uid="{00000000-0005-0000-0000-0000E22A0000}"/>
    <cellStyle name="Output 3 2 8 5" xfId="11689" xr:uid="{00000000-0005-0000-0000-0000E32A0000}"/>
    <cellStyle name="Output 3 2 9" xfId="2416" xr:uid="{00000000-0005-0000-0000-0000E42A0000}"/>
    <cellStyle name="Output 3 2 9 2" xfId="3872" xr:uid="{00000000-0005-0000-0000-0000E52A0000}"/>
    <cellStyle name="Output 3 2 9 2 2" xfId="7442" xr:uid="{00000000-0005-0000-0000-0000E62A0000}"/>
    <cellStyle name="Output 3 2 9 2 3" xfId="9404" xr:uid="{00000000-0005-0000-0000-0000E72A0000}"/>
    <cellStyle name="Output 3 2 9 2 4" xfId="10699" xr:uid="{00000000-0005-0000-0000-0000E82A0000}"/>
    <cellStyle name="Output 3 2 9 3" xfId="6004" xr:uid="{00000000-0005-0000-0000-0000E92A0000}"/>
    <cellStyle name="Output 3 2 9 4" xfId="4719" xr:uid="{00000000-0005-0000-0000-0000EA2A0000}"/>
    <cellStyle name="Output 3 2 9 5" xfId="11780" xr:uid="{00000000-0005-0000-0000-0000EB2A0000}"/>
    <cellStyle name="Output 3 3" xfId="1603" xr:uid="{00000000-0005-0000-0000-0000EC2A0000}"/>
    <cellStyle name="Output 3 3 2" xfId="3086" xr:uid="{00000000-0005-0000-0000-0000ED2A0000}"/>
    <cellStyle name="Output 3 3 2 2" xfId="6663" xr:uid="{00000000-0005-0000-0000-0000EE2A0000}"/>
    <cellStyle name="Output 3 3 2 3" xfId="8651" xr:uid="{00000000-0005-0000-0000-0000EF2A0000}"/>
    <cellStyle name="Output 3 3 2 4" xfId="9967" xr:uid="{00000000-0005-0000-0000-0000F02A0000}"/>
    <cellStyle name="Output 3 3 3" xfId="5200" xr:uid="{00000000-0005-0000-0000-0000F12A0000}"/>
    <cellStyle name="Output 3 3 4" xfId="8661" xr:uid="{00000000-0005-0000-0000-0000F22A0000}"/>
    <cellStyle name="Output 3 3 5" xfId="11049" xr:uid="{00000000-0005-0000-0000-0000F32A0000}"/>
    <cellStyle name="Output 3 4" xfId="1275" xr:uid="{00000000-0005-0000-0000-0000F42A0000}"/>
    <cellStyle name="Output 3 4 2" xfId="2776" xr:uid="{00000000-0005-0000-0000-0000F52A0000}"/>
    <cellStyle name="Output 3 4 2 2" xfId="6355" xr:uid="{00000000-0005-0000-0000-0000F62A0000}"/>
    <cellStyle name="Output 3 4 2 3" xfId="8363" xr:uid="{00000000-0005-0000-0000-0000F72A0000}"/>
    <cellStyle name="Output 3 4 2 4" xfId="9688" xr:uid="{00000000-0005-0000-0000-0000F82A0000}"/>
    <cellStyle name="Output 3 4 3" xfId="4873" xr:uid="{00000000-0005-0000-0000-0000F92A0000}"/>
    <cellStyle name="Output 3 4 4" xfId="7993" xr:uid="{00000000-0005-0000-0000-0000FA2A0000}"/>
    <cellStyle name="Output 3 4 5" xfId="8824" xr:uid="{00000000-0005-0000-0000-0000FB2A0000}"/>
    <cellStyle name="Output 3 5" xfId="2029" xr:uid="{00000000-0005-0000-0000-0000FC2A0000}"/>
    <cellStyle name="Output 3 5 2" xfId="3490" xr:uid="{00000000-0005-0000-0000-0000FD2A0000}"/>
    <cellStyle name="Output 3 5 2 2" xfId="7060" xr:uid="{00000000-0005-0000-0000-0000FE2A0000}"/>
    <cellStyle name="Output 3 5 2 3" xfId="9026" xr:uid="{00000000-0005-0000-0000-0000FF2A0000}"/>
    <cellStyle name="Output 3 5 2 4" xfId="10317" xr:uid="{00000000-0005-0000-0000-0000002B0000}"/>
    <cellStyle name="Output 3 5 3" xfId="5617" xr:uid="{00000000-0005-0000-0000-0000012B0000}"/>
    <cellStyle name="Output 3 5 4" xfId="7765" xr:uid="{00000000-0005-0000-0000-0000022B0000}"/>
    <cellStyle name="Output 3 5 5" xfId="11396" xr:uid="{00000000-0005-0000-0000-0000032B0000}"/>
    <cellStyle name="Output 3 6" xfId="2628" xr:uid="{00000000-0005-0000-0000-0000042B0000}"/>
    <cellStyle name="Output 3 6 2" xfId="6216" xr:uid="{00000000-0005-0000-0000-0000052B0000}"/>
    <cellStyle name="Output 3 6 3" xfId="8240" xr:uid="{00000000-0005-0000-0000-0000062B0000}"/>
    <cellStyle name="Output 3 6 4" xfId="9590" xr:uid="{00000000-0005-0000-0000-0000072B0000}"/>
    <cellStyle name="Output 3 7" xfId="4614" xr:uid="{00000000-0005-0000-0000-0000082B0000}"/>
    <cellStyle name="Output 3 8" xfId="4262" xr:uid="{00000000-0005-0000-0000-0000092B0000}"/>
    <cellStyle name="Output 3 9" xfId="7606" xr:uid="{00000000-0005-0000-0000-00000A2B0000}"/>
    <cellStyle name="Output 4" xfId="999" xr:uid="{00000000-0005-0000-0000-00000B2B0000}"/>
    <cellStyle name="Output 4 2" xfId="1243" xr:uid="{00000000-0005-0000-0000-00000C2B0000}"/>
    <cellStyle name="Output 4 2 10" xfId="2486" xr:uid="{00000000-0005-0000-0000-00000D2B0000}"/>
    <cellStyle name="Output 4 2 10 2" xfId="3941" xr:uid="{00000000-0005-0000-0000-00000E2B0000}"/>
    <cellStyle name="Output 4 2 10 2 2" xfId="7511" xr:uid="{00000000-0005-0000-0000-00000F2B0000}"/>
    <cellStyle name="Output 4 2 10 2 3" xfId="9471" xr:uid="{00000000-0005-0000-0000-0000102B0000}"/>
    <cellStyle name="Output 4 2 10 2 4" xfId="10768" xr:uid="{00000000-0005-0000-0000-0000112B0000}"/>
    <cellStyle name="Output 4 2 10 3" xfId="6074" xr:uid="{00000000-0005-0000-0000-0000122B0000}"/>
    <cellStyle name="Output 4 2 10 4" xfId="4623" xr:uid="{00000000-0005-0000-0000-0000132B0000}"/>
    <cellStyle name="Output 4 2 10 5" xfId="11850" xr:uid="{00000000-0005-0000-0000-0000142B0000}"/>
    <cellStyle name="Output 4 2 11" xfId="2539" xr:uid="{00000000-0005-0000-0000-0000152B0000}"/>
    <cellStyle name="Output 4 2 11 2" xfId="3994" xr:uid="{00000000-0005-0000-0000-0000162B0000}"/>
    <cellStyle name="Output 4 2 11 2 2" xfId="7564" xr:uid="{00000000-0005-0000-0000-0000172B0000}"/>
    <cellStyle name="Output 4 2 11 2 3" xfId="9524" xr:uid="{00000000-0005-0000-0000-0000182B0000}"/>
    <cellStyle name="Output 4 2 11 2 4" xfId="10821" xr:uid="{00000000-0005-0000-0000-0000192B0000}"/>
    <cellStyle name="Output 4 2 11 3" xfId="6127" xr:uid="{00000000-0005-0000-0000-00001A2B0000}"/>
    <cellStyle name="Output 4 2 11 4" xfId="4851" xr:uid="{00000000-0005-0000-0000-00001B2B0000}"/>
    <cellStyle name="Output 4 2 11 5" xfId="11903" xr:uid="{00000000-0005-0000-0000-00001C2B0000}"/>
    <cellStyle name="Output 4 2 12" xfId="2748" xr:uid="{00000000-0005-0000-0000-00001D2B0000}"/>
    <cellStyle name="Output 4 2 12 2" xfId="6331" xr:uid="{00000000-0005-0000-0000-00001E2B0000}"/>
    <cellStyle name="Output 4 2 12 3" xfId="8343" xr:uid="{00000000-0005-0000-0000-00001F2B0000}"/>
    <cellStyle name="Output 4 2 12 4" xfId="9680" xr:uid="{00000000-0005-0000-0000-0000202B0000}"/>
    <cellStyle name="Output 4 2 13" xfId="4842" xr:uid="{00000000-0005-0000-0000-0000212B0000}"/>
    <cellStyle name="Output 4 2 14" xfId="4123" xr:uid="{00000000-0005-0000-0000-0000222B0000}"/>
    <cellStyle name="Output 4 2 15" xfId="8114" xr:uid="{00000000-0005-0000-0000-0000232B0000}"/>
    <cellStyle name="Output 4 2 2" xfId="1784" xr:uid="{00000000-0005-0000-0000-0000242B0000}"/>
    <cellStyle name="Output 4 2 2 2" xfId="3261" xr:uid="{00000000-0005-0000-0000-0000252B0000}"/>
    <cellStyle name="Output 4 2 2 2 2" xfId="6834" xr:uid="{00000000-0005-0000-0000-0000262B0000}"/>
    <cellStyle name="Output 4 2 2 2 3" xfId="8810" xr:uid="{00000000-0005-0000-0000-0000272B0000}"/>
    <cellStyle name="Output 4 2 2 2 4" xfId="10111" xr:uid="{00000000-0005-0000-0000-0000282B0000}"/>
    <cellStyle name="Output 4 2 2 3" xfId="5376" xr:uid="{00000000-0005-0000-0000-0000292B0000}"/>
    <cellStyle name="Output 4 2 2 4" xfId="8169" xr:uid="{00000000-0005-0000-0000-00002A2B0000}"/>
    <cellStyle name="Output 4 2 2 5" xfId="11188" xr:uid="{00000000-0005-0000-0000-00002B2B0000}"/>
    <cellStyle name="Output 4 2 3" xfId="1950" xr:uid="{00000000-0005-0000-0000-00002C2B0000}"/>
    <cellStyle name="Output 4 2 3 2" xfId="3414" xr:uid="{00000000-0005-0000-0000-00002D2B0000}"/>
    <cellStyle name="Output 4 2 3 2 2" xfId="6984" xr:uid="{00000000-0005-0000-0000-00002E2B0000}"/>
    <cellStyle name="Output 4 2 3 2 3" xfId="8950" xr:uid="{00000000-0005-0000-0000-00002F2B0000}"/>
    <cellStyle name="Output 4 2 3 2 4" xfId="10241" xr:uid="{00000000-0005-0000-0000-0000302B0000}"/>
    <cellStyle name="Output 4 2 3 3" xfId="5538" xr:uid="{00000000-0005-0000-0000-0000312B0000}"/>
    <cellStyle name="Output 4 2 3 4" xfId="7861" xr:uid="{00000000-0005-0000-0000-0000322B0000}"/>
    <cellStyle name="Output 4 2 3 5" xfId="11319" xr:uid="{00000000-0005-0000-0000-0000332B0000}"/>
    <cellStyle name="Output 4 2 4" xfId="2020" xr:uid="{00000000-0005-0000-0000-0000342B0000}"/>
    <cellStyle name="Output 4 2 4 2" xfId="3483" xr:uid="{00000000-0005-0000-0000-0000352B0000}"/>
    <cellStyle name="Output 4 2 4 2 2" xfId="7053" xr:uid="{00000000-0005-0000-0000-0000362B0000}"/>
    <cellStyle name="Output 4 2 4 2 3" xfId="9019" xr:uid="{00000000-0005-0000-0000-0000372B0000}"/>
    <cellStyle name="Output 4 2 4 2 4" xfId="10310" xr:uid="{00000000-0005-0000-0000-0000382B0000}"/>
    <cellStyle name="Output 4 2 4 3" xfId="5608" xr:uid="{00000000-0005-0000-0000-0000392B0000}"/>
    <cellStyle name="Output 4 2 4 4" xfId="7972" xr:uid="{00000000-0005-0000-0000-00003A2B0000}"/>
    <cellStyle name="Output 4 2 4 5" xfId="11388" xr:uid="{00000000-0005-0000-0000-00003B2B0000}"/>
    <cellStyle name="Output 4 2 5" xfId="2088" xr:uid="{00000000-0005-0000-0000-00003C2B0000}"/>
    <cellStyle name="Output 4 2 5 2" xfId="3548" xr:uid="{00000000-0005-0000-0000-00003D2B0000}"/>
    <cellStyle name="Output 4 2 5 2 2" xfId="7118" xr:uid="{00000000-0005-0000-0000-00003E2B0000}"/>
    <cellStyle name="Output 4 2 5 2 3" xfId="9084" xr:uid="{00000000-0005-0000-0000-00003F2B0000}"/>
    <cellStyle name="Output 4 2 5 2 4" xfId="10375" xr:uid="{00000000-0005-0000-0000-0000402B0000}"/>
    <cellStyle name="Output 4 2 5 3" xfId="5676" xr:uid="{00000000-0005-0000-0000-0000412B0000}"/>
    <cellStyle name="Output 4 2 5 4" xfId="7615" xr:uid="{00000000-0005-0000-0000-0000422B0000}"/>
    <cellStyle name="Output 4 2 5 5" xfId="11455" xr:uid="{00000000-0005-0000-0000-0000432B0000}"/>
    <cellStyle name="Output 4 2 6" xfId="2156" xr:uid="{00000000-0005-0000-0000-0000442B0000}"/>
    <cellStyle name="Output 4 2 6 2" xfId="3615" xr:uid="{00000000-0005-0000-0000-0000452B0000}"/>
    <cellStyle name="Output 4 2 6 2 2" xfId="7185" xr:uid="{00000000-0005-0000-0000-0000462B0000}"/>
    <cellStyle name="Output 4 2 6 2 3" xfId="9150" xr:uid="{00000000-0005-0000-0000-0000472B0000}"/>
    <cellStyle name="Output 4 2 6 2 4" xfId="10442" xr:uid="{00000000-0005-0000-0000-0000482B0000}"/>
    <cellStyle name="Output 4 2 6 3" xfId="5744" xr:uid="{00000000-0005-0000-0000-0000492B0000}"/>
    <cellStyle name="Output 4 2 6 4" xfId="4676" xr:uid="{00000000-0005-0000-0000-00004A2B0000}"/>
    <cellStyle name="Output 4 2 6 5" xfId="11522" xr:uid="{00000000-0005-0000-0000-00004B2B0000}"/>
    <cellStyle name="Output 4 2 7" xfId="2228" xr:uid="{00000000-0005-0000-0000-00004C2B0000}"/>
    <cellStyle name="Output 4 2 7 2" xfId="3687" xr:uid="{00000000-0005-0000-0000-00004D2B0000}"/>
    <cellStyle name="Output 4 2 7 2 2" xfId="7257" xr:uid="{00000000-0005-0000-0000-00004E2B0000}"/>
    <cellStyle name="Output 4 2 7 2 3" xfId="9222" xr:uid="{00000000-0005-0000-0000-00004F2B0000}"/>
    <cellStyle name="Output 4 2 7 2 4" xfId="10514" xr:uid="{00000000-0005-0000-0000-0000502B0000}"/>
    <cellStyle name="Output 4 2 7 3" xfId="5816" xr:uid="{00000000-0005-0000-0000-0000512B0000}"/>
    <cellStyle name="Output 4 2 7 4" xfId="4680" xr:uid="{00000000-0005-0000-0000-0000522B0000}"/>
    <cellStyle name="Output 4 2 7 5" xfId="11594" xr:uid="{00000000-0005-0000-0000-0000532B0000}"/>
    <cellStyle name="Output 4 2 8" xfId="2325" xr:uid="{00000000-0005-0000-0000-0000542B0000}"/>
    <cellStyle name="Output 4 2 8 2" xfId="3782" xr:uid="{00000000-0005-0000-0000-0000552B0000}"/>
    <cellStyle name="Output 4 2 8 2 2" xfId="7352" xr:uid="{00000000-0005-0000-0000-0000562B0000}"/>
    <cellStyle name="Output 4 2 8 2 3" xfId="9315" xr:uid="{00000000-0005-0000-0000-0000572B0000}"/>
    <cellStyle name="Output 4 2 8 2 4" xfId="10609" xr:uid="{00000000-0005-0000-0000-0000582B0000}"/>
    <cellStyle name="Output 4 2 8 3" xfId="5913" xr:uid="{00000000-0005-0000-0000-0000592B0000}"/>
    <cellStyle name="Output 4 2 8 4" xfId="4804" xr:uid="{00000000-0005-0000-0000-00005A2B0000}"/>
    <cellStyle name="Output 4 2 8 5" xfId="11690" xr:uid="{00000000-0005-0000-0000-00005B2B0000}"/>
    <cellStyle name="Output 4 2 9" xfId="2417" xr:uid="{00000000-0005-0000-0000-00005C2B0000}"/>
    <cellStyle name="Output 4 2 9 2" xfId="3873" xr:uid="{00000000-0005-0000-0000-00005D2B0000}"/>
    <cellStyle name="Output 4 2 9 2 2" xfId="7443" xr:uid="{00000000-0005-0000-0000-00005E2B0000}"/>
    <cellStyle name="Output 4 2 9 2 3" xfId="9405" xr:uid="{00000000-0005-0000-0000-00005F2B0000}"/>
    <cellStyle name="Output 4 2 9 2 4" xfId="10700" xr:uid="{00000000-0005-0000-0000-0000602B0000}"/>
    <cellStyle name="Output 4 2 9 3" xfId="6005" xr:uid="{00000000-0005-0000-0000-0000612B0000}"/>
    <cellStyle name="Output 4 2 9 4" xfId="4868" xr:uid="{00000000-0005-0000-0000-0000622B0000}"/>
    <cellStyle name="Output 4 2 9 5" xfId="11781" xr:uid="{00000000-0005-0000-0000-0000632B0000}"/>
    <cellStyle name="Output 4 3" xfId="1604" xr:uid="{00000000-0005-0000-0000-0000642B0000}"/>
    <cellStyle name="Output 4 3 2" xfId="3087" xr:uid="{00000000-0005-0000-0000-0000652B0000}"/>
    <cellStyle name="Output 4 3 2 2" xfId="6664" xr:uid="{00000000-0005-0000-0000-0000662B0000}"/>
    <cellStyle name="Output 4 3 2 3" xfId="8652" xr:uid="{00000000-0005-0000-0000-0000672B0000}"/>
    <cellStyle name="Output 4 3 2 4" xfId="9968" xr:uid="{00000000-0005-0000-0000-0000682B0000}"/>
    <cellStyle name="Output 4 3 3" xfId="5201" xr:uid="{00000000-0005-0000-0000-0000692B0000}"/>
    <cellStyle name="Output 4 3 4" xfId="7726" xr:uid="{00000000-0005-0000-0000-00006A2B0000}"/>
    <cellStyle name="Output 4 3 5" xfId="11050" xr:uid="{00000000-0005-0000-0000-00006B2B0000}"/>
    <cellStyle name="Output 4 4" xfId="1356" xr:uid="{00000000-0005-0000-0000-00006C2B0000}"/>
    <cellStyle name="Output 4 4 2" xfId="2852" xr:uid="{00000000-0005-0000-0000-00006D2B0000}"/>
    <cellStyle name="Output 4 4 2 2" xfId="6431" xr:uid="{00000000-0005-0000-0000-00006E2B0000}"/>
    <cellStyle name="Output 4 4 2 3" xfId="8432" xr:uid="{00000000-0005-0000-0000-00006F2B0000}"/>
    <cellStyle name="Output 4 4 2 4" xfId="9757" xr:uid="{00000000-0005-0000-0000-0000702B0000}"/>
    <cellStyle name="Output 4 4 3" xfId="4954" xr:uid="{00000000-0005-0000-0000-0000712B0000}"/>
    <cellStyle name="Output 4 4 4" xfId="7934" xr:uid="{00000000-0005-0000-0000-0000722B0000}"/>
    <cellStyle name="Output 4 4 5" xfId="10839" xr:uid="{00000000-0005-0000-0000-0000732B0000}"/>
    <cellStyle name="Output 4 5" xfId="1557" xr:uid="{00000000-0005-0000-0000-0000742B0000}"/>
    <cellStyle name="Output 4 5 2" xfId="3041" xr:uid="{00000000-0005-0000-0000-0000752B0000}"/>
    <cellStyle name="Output 4 5 2 2" xfId="6618" xr:uid="{00000000-0005-0000-0000-0000762B0000}"/>
    <cellStyle name="Output 4 5 2 3" xfId="8609" xr:uid="{00000000-0005-0000-0000-0000772B0000}"/>
    <cellStyle name="Output 4 5 2 4" xfId="9925" xr:uid="{00000000-0005-0000-0000-0000782B0000}"/>
    <cellStyle name="Output 4 5 3" xfId="5154" xr:uid="{00000000-0005-0000-0000-0000792B0000}"/>
    <cellStyle name="Output 4 5 4" xfId="8748" xr:uid="{00000000-0005-0000-0000-00007A2B0000}"/>
    <cellStyle name="Output 4 5 5" xfId="11007" xr:uid="{00000000-0005-0000-0000-00007B2B0000}"/>
    <cellStyle name="Output 4 6" xfId="2629" xr:uid="{00000000-0005-0000-0000-00007C2B0000}"/>
    <cellStyle name="Output 4 6 2" xfId="6217" xr:uid="{00000000-0005-0000-0000-00007D2B0000}"/>
    <cellStyle name="Output 4 6 3" xfId="8241" xr:uid="{00000000-0005-0000-0000-00007E2B0000}"/>
    <cellStyle name="Output 4 6 4" xfId="9591" xr:uid="{00000000-0005-0000-0000-00007F2B0000}"/>
    <cellStyle name="Output 4 7" xfId="4615" xr:uid="{00000000-0005-0000-0000-0000802B0000}"/>
    <cellStyle name="Output 4 8" xfId="4261" xr:uid="{00000000-0005-0000-0000-0000812B0000}"/>
    <cellStyle name="Output 4 9" xfId="8599" xr:uid="{00000000-0005-0000-0000-0000822B0000}"/>
    <cellStyle name="Output 5" xfId="1000" xr:uid="{00000000-0005-0000-0000-0000832B0000}"/>
    <cellStyle name="Output 5 2" xfId="1244" xr:uid="{00000000-0005-0000-0000-0000842B0000}"/>
    <cellStyle name="Output 5 2 10" xfId="2487" xr:uid="{00000000-0005-0000-0000-0000852B0000}"/>
    <cellStyle name="Output 5 2 10 2" xfId="3942" xr:uid="{00000000-0005-0000-0000-0000862B0000}"/>
    <cellStyle name="Output 5 2 10 2 2" xfId="7512" xr:uid="{00000000-0005-0000-0000-0000872B0000}"/>
    <cellStyle name="Output 5 2 10 2 3" xfId="9472" xr:uid="{00000000-0005-0000-0000-0000882B0000}"/>
    <cellStyle name="Output 5 2 10 2 4" xfId="10769" xr:uid="{00000000-0005-0000-0000-0000892B0000}"/>
    <cellStyle name="Output 5 2 10 3" xfId="6075" xr:uid="{00000000-0005-0000-0000-00008A2B0000}"/>
    <cellStyle name="Output 5 2 10 4" xfId="4624" xr:uid="{00000000-0005-0000-0000-00008B2B0000}"/>
    <cellStyle name="Output 5 2 10 5" xfId="11851" xr:uid="{00000000-0005-0000-0000-00008C2B0000}"/>
    <cellStyle name="Output 5 2 11" xfId="2540" xr:uid="{00000000-0005-0000-0000-00008D2B0000}"/>
    <cellStyle name="Output 5 2 11 2" xfId="3995" xr:uid="{00000000-0005-0000-0000-00008E2B0000}"/>
    <cellStyle name="Output 5 2 11 2 2" xfId="7565" xr:uid="{00000000-0005-0000-0000-00008F2B0000}"/>
    <cellStyle name="Output 5 2 11 2 3" xfId="9525" xr:uid="{00000000-0005-0000-0000-0000902B0000}"/>
    <cellStyle name="Output 5 2 11 2 4" xfId="10822" xr:uid="{00000000-0005-0000-0000-0000912B0000}"/>
    <cellStyle name="Output 5 2 11 3" xfId="6128" xr:uid="{00000000-0005-0000-0000-0000922B0000}"/>
    <cellStyle name="Output 5 2 11 4" xfId="4850" xr:uid="{00000000-0005-0000-0000-0000932B0000}"/>
    <cellStyle name="Output 5 2 11 5" xfId="11904" xr:uid="{00000000-0005-0000-0000-0000942B0000}"/>
    <cellStyle name="Output 5 2 12" xfId="2749" xr:uid="{00000000-0005-0000-0000-0000952B0000}"/>
    <cellStyle name="Output 5 2 12 2" xfId="6332" xr:uid="{00000000-0005-0000-0000-0000962B0000}"/>
    <cellStyle name="Output 5 2 12 3" xfId="8344" xr:uid="{00000000-0005-0000-0000-0000972B0000}"/>
    <cellStyle name="Output 5 2 12 4" xfId="9681" xr:uid="{00000000-0005-0000-0000-0000982B0000}"/>
    <cellStyle name="Output 5 2 13" xfId="4843" xr:uid="{00000000-0005-0000-0000-0000992B0000}"/>
    <cellStyle name="Output 5 2 14" xfId="4122" xr:uid="{00000000-0005-0000-0000-00009A2B0000}"/>
    <cellStyle name="Output 5 2 15" xfId="7709" xr:uid="{00000000-0005-0000-0000-00009B2B0000}"/>
    <cellStyle name="Output 5 2 2" xfId="1785" xr:uid="{00000000-0005-0000-0000-00009C2B0000}"/>
    <cellStyle name="Output 5 2 2 2" xfId="3262" xr:uid="{00000000-0005-0000-0000-00009D2B0000}"/>
    <cellStyle name="Output 5 2 2 2 2" xfId="6835" xr:uid="{00000000-0005-0000-0000-00009E2B0000}"/>
    <cellStyle name="Output 5 2 2 2 3" xfId="8811" xr:uid="{00000000-0005-0000-0000-00009F2B0000}"/>
    <cellStyle name="Output 5 2 2 2 4" xfId="10112" xr:uid="{00000000-0005-0000-0000-0000A02B0000}"/>
    <cellStyle name="Output 5 2 2 3" xfId="5377" xr:uid="{00000000-0005-0000-0000-0000A12B0000}"/>
    <cellStyle name="Output 5 2 2 4" xfId="8387" xr:uid="{00000000-0005-0000-0000-0000A22B0000}"/>
    <cellStyle name="Output 5 2 2 5" xfId="11189" xr:uid="{00000000-0005-0000-0000-0000A32B0000}"/>
    <cellStyle name="Output 5 2 3" xfId="1951" xr:uid="{00000000-0005-0000-0000-0000A42B0000}"/>
    <cellStyle name="Output 5 2 3 2" xfId="3415" xr:uid="{00000000-0005-0000-0000-0000A52B0000}"/>
    <cellStyle name="Output 5 2 3 2 2" xfId="6985" xr:uid="{00000000-0005-0000-0000-0000A62B0000}"/>
    <cellStyle name="Output 5 2 3 2 3" xfId="8951" xr:uid="{00000000-0005-0000-0000-0000A72B0000}"/>
    <cellStyle name="Output 5 2 3 2 4" xfId="10242" xr:uid="{00000000-0005-0000-0000-0000A82B0000}"/>
    <cellStyle name="Output 5 2 3 3" xfId="5539" xr:uid="{00000000-0005-0000-0000-0000A92B0000}"/>
    <cellStyle name="Output 5 2 3 4" xfId="7759" xr:uid="{00000000-0005-0000-0000-0000AA2B0000}"/>
    <cellStyle name="Output 5 2 3 5" xfId="11320" xr:uid="{00000000-0005-0000-0000-0000AB2B0000}"/>
    <cellStyle name="Output 5 2 4" xfId="2021" xr:uid="{00000000-0005-0000-0000-0000AC2B0000}"/>
    <cellStyle name="Output 5 2 4 2" xfId="3484" xr:uid="{00000000-0005-0000-0000-0000AD2B0000}"/>
    <cellStyle name="Output 5 2 4 2 2" xfId="7054" xr:uid="{00000000-0005-0000-0000-0000AE2B0000}"/>
    <cellStyle name="Output 5 2 4 2 3" xfId="9020" xr:uid="{00000000-0005-0000-0000-0000AF2B0000}"/>
    <cellStyle name="Output 5 2 4 2 4" xfId="10311" xr:uid="{00000000-0005-0000-0000-0000B02B0000}"/>
    <cellStyle name="Output 5 2 4 3" xfId="5609" xr:uid="{00000000-0005-0000-0000-0000B12B0000}"/>
    <cellStyle name="Output 5 2 4 4" xfId="4071" xr:uid="{00000000-0005-0000-0000-0000B22B0000}"/>
    <cellStyle name="Output 5 2 4 5" xfId="11389" xr:uid="{00000000-0005-0000-0000-0000B32B0000}"/>
    <cellStyle name="Output 5 2 5" xfId="2089" xr:uid="{00000000-0005-0000-0000-0000B42B0000}"/>
    <cellStyle name="Output 5 2 5 2" xfId="3549" xr:uid="{00000000-0005-0000-0000-0000B52B0000}"/>
    <cellStyle name="Output 5 2 5 2 2" xfId="7119" xr:uid="{00000000-0005-0000-0000-0000B62B0000}"/>
    <cellStyle name="Output 5 2 5 2 3" xfId="9085" xr:uid="{00000000-0005-0000-0000-0000B72B0000}"/>
    <cellStyle name="Output 5 2 5 2 4" xfId="10376" xr:uid="{00000000-0005-0000-0000-0000B82B0000}"/>
    <cellStyle name="Output 5 2 5 3" xfId="5677" xr:uid="{00000000-0005-0000-0000-0000B92B0000}"/>
    <cellStyle name="Output 5 2 5 4" xfId="8061" xr:uid="{00000000-0005-0000-0000-0000BA2B0000}"/>
    <cellStyle name="Output 5 2 5 5" xfId="11456" xr:uid="{00000000-0005-0000-0000-0000BB2B0000}"/>
    <cellStyle name="Output 5 2 6" xfId="2157" xr:uid="{00000000-0005-0000-0000-0000BC2B0000}"/>
    <cellStyle name="Output 5 2 6 2" xfId="3616" xr:uid="{00000000-0005-0000-0000-0000BD2B0000}"/>
    <cellStyle name="Output 5 2 6 2 2" xfId="7186" xr:uid="{00000000-0005-0000-0000-0000BE2B0000}"/>
    <cellStyle name="Output 5 2 6 2 3" xfId="9151" xr:uid="{00000000-0005-0000-0000-0000BF2B0000}"/>
    <cellStyle name="Output 5 2 6 2 4" xfId="10443" xr:uid="{00000000-0005-0000-0000-0000C02B0000}"/>
    <cellStyle name="Output 5 2 6 3" xfId="5745" xr:uid="{00000000-0005-0000-0000-0000C12B0000}"/>
    <cellStyle name="Output 5 2 6 4" xfId="5135" xr:uid="{00000000-0005-0000-0000-0000C22B0000}"/>
    <cellStyle name="Output 5 2 6 5" xfId="11523" xr:uid="{00000000-0005-0000-0000-0000C32B0000}"/>
    <cellStyle name="Output 5 2 7" xfId="2229" xr:uid="{00000000-0005-0000-0000-0000C42B0000}"/>
    <cellStyle name="Output 5 2 7 2" xfId="3688" xr:uid="{00000000-0005-0000-0000-0000C52B0000}"/>
    <cellStyle name="Output 5 2 7 2 2" xfId="7258" xr:uid="{00000000-0005-0000-0000-0000C62B0000}"/>
    <cellStyle name="Output 5 2 7 2 3" xfId="9223" xr:uid="{00000000-0005-0000-0000-0000C72B0000}"/>
    <cellStyle name="Output 5 2 7 2 4" xfId="10515" xr:uid="{00000000-0005-0000-0000-0000C82B0000}"/>
    <cellStyle name="Output 5 2 7 3" xfId="5817" xr:uid="{00000000-0005-0000-0000-0000C92B0000}"/>
    <cellStyle name="Output 5 2 7 4" xfId="4524" xr:uid="{00000000-0005-0000-0000-0000CA2B0000}"/>
    <cellStyle name="Output 5 2 7 5" xfId="11595" xr:uid="{00000000-0005-0000-0000-0000CB2B0000}"/>
    <cellStyle name="Output 5 2 8" xfId="2326" xr:uid="{00000000-0005-0000-0000-0000CC2B0000}"/>
    <cellStyle name="Output 5 2 8 2" xfId="3783" xr:uid="{00000000-0005-0000-0000-0000CD2B0000}"/>
    <cellStyle name="Output 5 2 8 2 2" xfId="7353" xr:uid="{00000000-0005-0000-0000-0000CE2B0000}"/>
    <cellStyle name="Output 5 2 8 2 3" xfId="9316" xr:uid="{00000000-0005-0000-0000-0000CF2B0000}"/>
    <cellStyle name="Output 5 2 8 2 4" xfId="10610" xr:uid="{00000000-0005-0000-0000-0000D02B0000}"/>
    <cellStyle name="Output 5 2 8 3" xfId="5914" xr:uid="{00000000-0005-0000-0000-0000D12B0000}"/>
    <cellStyle name="Output 5 2 8 4" xfId="4572" xr:uid="{00000000-0005-0000-0000-0000D22B0000}"/>
    <cellStyle name="Output 5 2 8 5" xfId="11691" xr:uid="{00000000-0005-0000-0000-0000D32B0000}"/>
    <cellStyle name="Output 5 2 9" xfId="2418" xr:uid="{00000000-0005-0000-0000-0000D42B0000}"/>
    <cellStyle name="Output 5 2 9 2" xfId="3874" xr:uid="{00000000-0005-0000-0000-0000D52B0000}"/>
    <cellStyle name="Output 5 2 9 2 2" xfId="7444" xr:uid="{00000000-0005-0000-0000-0000D62B0000}"/>
    <cellStyle name="Output 5 2 9 2 3" xfId="9406" xr:uid="{00000000-0005-0000-0000-0000D72B0000}"/>
    <cellStyle name="Output 5 2 9 2 4" xfId="10701" xr:uid="{00000000-0005-0000-0000-0000D82B0000}"/>
    <cellStyle name="Output 5 2 9 3" xfId="6006" xr:uid="{00000000-0005-0000-0000-0000D92B0000}"/>
    <cellStyle name="Output 5 2 9 4" xfId="5397" xr:uid="{00000000-0005-0000-0000-0000DA2B0000}"/>
    <cellStyle name="Output 5 2 9 5" xfId="11782" xr:uid="{00000000-0005-0000-0000-0000DB2B0000}"/>
    <cellStyle name="Output 5 3" xfId="1605" xr:uid="{00000000-0005-0000-0000-0000DC2B0000}"/>
    <cellStyle name="Output 5 3 2" xfId="3088" xr:uid="{00000000-0005-0000-0000-0000DD2B0000}"/>
    <cellStyle name="Output 5 3 2 2" xfId="6665" xr:uid="{00000000-0005-0000-0000-0000DE2B0000}"/>
    <cellStyle name="Output 5 3 2 3" xfId="8653" xr:uid="{00000000-0005-0000-0000-0000DF2B0000}"/>
    <cellStyle name="Output 5 3 2 4" xfId="9969" xr:uid="{00000000-0005-0000-0000-0000E02B0000}"/>
    <cellStyle name="Output 5 3 3" xfId="5202" xr:uid="{00000000-0005-0000-0000-0000E12B0000}"/>
    <cellStyle name="Output 5 3 4" xfId="8887" xr:uid="{00000000-0005-0000-0000-0000E22B0000}"/>
    <cellStyle name="Output 5 3 5" xfId="11051" xr:uid="{00000000-0005-0000-0000-0000E32B0000}"/>
    <cellStyle name="Output 5 4" xfId="1355" xr:uid="{00000000-0005-0000-0000-0000E42B0000}"/>
    <cellStyle name="Output 5 4 2" xfId="2851" xr:uid="{00000000-0005-0000-0000-0000E52B0000}"/>
    <cellStyle name="Output 5 4 2 2" xfId="6430" xr:uid="{00000000-0005-0000-0000-0000E62B0000}"/>
    <cellStyle name="Output 5 4 2 3" xfId="8431" xr:uid="{00000000-0005-0000-0000-0000E72B0000}"/>
    <cellStyle name="Output 5 4 2 4" xfId="9756" xr:uid="{00000000-0005-0000-0000-0000E82B0000}"/>
    <cellStyle name="Output 5 4 3" xfId="4953" xr:uid="{00000000-0005-0000-0000-0000E92B0000}"/>
    <cellStyle name="Output 5 4 4" xfId="7954" xr:uid="{00000000-0005-0000-0000-0000EA2B0000}"/>
    <cellStyle name="Output 5 4 5" xfId="10838" xr:uid="{00000000-0005-0000-0000-0000EB2B0000}"/>
    <cellStyle name="Output 5 5" xfId="2165" xr:uid="{00000000-0005-0000-0000-0000EC2B0000}"/>
    <cellStyle name="Output 5 5 2" xfId="3624" xr:uid="{00000000-0005-0000-0000-0000ED2B0000}"/>
    <cellStyle name="Output 5 5 2 2" xfId="7194" xr:uid="{00000000-0005-0000-0000-0000EE2B0000}"/>
    <cellStyle name="Output 5 5 2 3" xfId="9159" xr:uid="{00000000-0005-0000-0000-0000EF2B0000}"/>
    <cellStyle name="Output 5 5 2 4" xfId="10451" xr:uid="{00000000-0005-0000-0000-0000F02B0000}"/>
    <cellStyle name="Output 5 5 3" xfId="5753" xr:uid="{00000000-0005-0000-0000-0000F12B0000}"/>
    <cellStyle name="Output 5 5 4" xfId="5137" xr:uid="{00000000-0005-0000-0000-0000F22B0000}"/>
    <cellStyle name="Output 5 5 5" xfId="11531" xr:uid="{00000000-0005-0000-0000-0000F32B0000}"/>
    <cellStyle name="Output 5 6" xfId="2630" xr:uid="{00000000-0005-0000-0000-0000F42B0000}"/>
    <cellStyle name="Output 5 6 2" xfId="6218" xr:uid="{00000000-0005-0000-0000-0000F52B0000}"/>
    <cellStyle name="Output 5 6 3" xfId="8242" xr:uid="{00000000-0005-0000-0000-0000F62B0000}"/>
    <cellStyle name="Output 5 6 4" xfId="9592" xr:uid="{00000000-0005-0000-0000-0000F72B0000}"/>
    <cellStyle name="Output 5 7" xfId="4616" xr:uid="{00000000-0005-0000-0000-0000F82B0000}"/>
    <cellStyle name="Output 5 8" xfId="4260" xr:uid="{00000000-0005-0000-0000-0000F92B0000}"/>
    <cellStyle name="Output 5 9" xfId="7702" xr:uid="{00000000-0005-0000-0000-0000FA2B0000}"/>
    <cellStyle name="Output 6" xfId="1001" xr:uid="{00000000-0005-0000-0000-0000FB2B0000}"/>
    <cellStyle name="Output 6 2" xfId="1245" xr:uid="{00000000-0005-0000-0000-0000FC2B0000}"/>
    <cellStyle name="Output 6 2 10" xfId="2488" xr:uid="{00000000-0005-0000-0000-0000FD2B0000}"/>
    <cellStyle name="Output 6 2 10 2" xfId="3943" xr:uid="{00000000-0005-0000-0000-0000FE2B0000}"/>
    <cellStyle name="Output 6 2 10 2 2" xfId="7513" xr:uid="{00000000-0005-0000-0000-0000FF2B0000}"/>
    <cellStyle name="Output 6 2 10 2 3" xfId="9473" xr:uid="{00000000-0005-0000-0000-0000002C0000}"/>
    <cellStyle name="Output 6 2 10 2 4" xfId="10770" xr:uid="{00000000-0005-0000-0000-0000012C0000}"/>
    <cellStyle name="Output 6 2 10 3" xfId="6076" xr:uid="{00000000-0005-0000-0000-0000022C0000}"/>
    <cellStyle name="Output 6 2 10 4" xfId="4625" xr:uid="{00000000-0005-0000-0000-0000032C0000}"/>
    <cellStyle name="Output 6 2 10 5" xfId="11852" xr:uid="{00000000-0005-0000-0000-0000042C0000}"/>
    <cellStyle name="Output 6 2 11" xfId="2541" xr:uid="{00000000-0005-0000-0000-0000052C0000}"/>
    <cellStyle name="Output 6 2 11 2" xfId="3996" xr:uid="{00000000-0005-0000-0000-0000062C0000}"/>
    <cellStyle name="Output 6 2 11 2 2" xfId="7566" xr:uid="{00000000-0005-0000-0000-0000072C0000}"/>
    <cellStyle name="Output 6 2 11 2 3" xfId="9526" xr:uid="{00000000-0005-0000-0000-0000082C0000}"/>
    <cellStyle name="Output 6 2 11 2 4" xfId="10823" xr:uid="{00000000-0005-0000-0000-0000092C0000}"/>
    <cellStyle name="Output 6 2 11 3" xfId="6129" xr:uid="{00000000-0005-0000-0000-00000A2C0000}"/>
    <cellStyle name="Output 6 2 11 4" xfId="4654" xr:uid="{00000000-0005-0000-0000-00000B2C0000}"/>
    <cellStyle name="Output 6 2 11 5" xfId="11905" xr:uid="{00000000-0005-0000-0000-00000C2C0000}"/>
    <cellStyle name="Output 6 2 12" xfId="2750" xr:uid="{00000000-0005-0000-0000-00000D2C0000}"/>
    <cellStyle name="Output 6 2 12 2" xfId="6333" xr:uid="{00000000-0005-0000-0000-00000E2C0000}"/>
    <cellStyle name="Output 6 2 12 3" xfId="8345" xr:uid="{00000000-0005-0000-0000-00000F2C0000}"/>
    <cellStyle name="Output 6 2 12 4" xfId="9682" xr:uid="{00000000-0005-0000-0000-0000102C0000}"/>
    <cellStyle name="Output 6 2 13" xfId="4844" xr:uid="{00000000-0005-0000-0000-0000112C0000}"/>
    <cellStyle name="Output 6 2 14" xfId="4121" xr:uid="{00000000-0005-0000-0000-0000122C0000}"/>
    <cellStyle name="Output 6 2 15" xfId="7595" xr:uid="{00000000-0005-0000-0000-0000132C0000}"/>
    <cellStyle name="Output 6 2 2" xfId="1786" xr:uid="{00000000-0005-0000-0000-0000142C0000}"/>
    <cellStyle name="Output 6 2 2 2" xfId="3263" xr:uid="{00000000-0005-0000-0000-0000152C0000}"/>
    <cellStyle name="Output 6 2 2 2 2" xfId="6836" xr:uid="{00000000-0005-0000-0000-0000162C0000}"/>
    <cellStyle name="Output 6 2 2 2 3" xfId="8812" xr:uid="{00000000-0005-0000-0000-0000172C0000}"/>
    <cellStyle name="Output 6 2 2 2 4" xfId="10113" xr:uid="{00000000-0005-0000-0000-0000182C0000}"/>
    <cellStyle name="Output 6 2 2 3" xfId="5378" xr:uid="{00000000-0005-0000-0000-0000192C0000}"/>
    <cellStyle name="Output 6 2 2 4" xfId="4092" xr:uid="{00000000-0005-0000-0000-00001A2C0000}"/>
    <cellStyle name="Output 6 2 2 5" xfId="11190" xr:uid="{00000000-0005-0000-0000-00001B2C0000}"/>
    <cellStyle name="Output 6 2 3" xfId="1952" xr:uid="{00000000-0005-0000-0000-00001C2C0000}"/>
    <cellStyle name="Output 6 2 3 2" xfId="3416" xr:uid="{00000000-0005-0000-0000-00001D2C0000}"/>
    <cellStyle name="Output 6 2 3 2 2" xfId="6986" xr:uid="{00000000-0005-0000-0000-00001E2C0000}"/>
    <cellStyle name="Output 6 2 3 2 3" xfId="8952" xr:uid="{00000000-0005-0000-0000-00001F2C0000}"/>
    <cellStyle name="Output 6 2 3 2 4" xfId="10243" xr:uid="{00000000-0005-0000-0000-0000202C0000}"/>
    <cellStyle name="Output 6 2 3 3" xfId="5540" xr:uid="{00000000-0005-0000-0000-0000212C0000}"/>
    <cellStyle name="Output 6 2 3 4" xfId="7889" xr:uid="{00000000-0005-0000-0000-0000222C0000}"/>
    <cellStyle name="Output 6 2 3 5" xfId="11321" xr:uid="{00000000-0005-0000-0000-0000232C0000}"/>
    <cellStyle name="Output 6 2 4" xfId="2022" xr:uid="{00000000-0005-0000-0000-0000242C0000}"/>
    <cellStyle name="Output 6 2 4 2" xfId="3485" xr:uid="{00000000-0005-0000-0000-0000252C0000}"/>
    <cellStyle name="Output 6 2 4 2 2" xfId="7055" xr:uid="{00000000-0005-0000-0000-0000262C0000}"/>
    <cellStyle name="Output 6 2 4 2 3" xfId="9021" xr:uid="{00000000-0005-0000-0000-0000272C0000}"/>
    <cellStyle name="Output 6 2 4 2 4" xfId="10312" xr:uid="{00000000-0005-0000-0000-0000282C0000}"/>
    <cellStyle name="Output 6 2 4 3" xfId="5610" xr:uid="{00000000-0005-0000-0000-0000292C0000}"/>
    <cellStyle name="Output 6 2 4 4" xfId="7876" xr:uid="{00000000-0005-0000-0000-00002A2C0000}"/>
    <cellStyle name="Output 6 2 4 5" xfId="11390" xr:uid="{00000000-0005-0000-0000-00002B2C0000}"/>
    <cellStyle name="Output 6 2 5" xfId="2090" xr:uid="{00000000-0005-0000-0000-00002C2C0000}"/>
    <cellStyle name="Output 6 2 5 2" xfId="3550" xr:uid="{00000000-0005-0000-0000-00002D2C0000}"/>
    <cellStyle name="Output 6 2 5 2 2" xfId="7120" xr:uid="{00000000-0005-0000-0000-00002E2C0000}"/>
    <cellStyle name="Output 6 2 5 2 3" xfId="9086" xr:uid="{00000000-0005-0000-0000-00002F2C0000}"/>
    <cellStyle name="Output 6 2 5 2 4" xfId="10377" xr:uid="{00000000-0005-0000-0000-0000302C0000}"/>
    <cellStyle name="Output 6 2 5 3" xfId="5678" xr:uid="{00000000-0005-0000-0000-0000312C0000}"/>
    <cellStyle name="Output 6 2 5 4" xfId="8017" xr:uid="{00000000-0005-0000-0000-0000322C0000}"/>
    <cellStyle name="Output 6 2 5 5" xfId="11457" xr:uid="{00000000-0005-0000-0000-0000332C0000}"/>
    <cellStyle name="Output 6 2 6" xfId="2158" xr:uid="{00000000-0005-0000-0000-0000342C0000}"/>
    <cellStyle name="Output 6 2 6 2" xfId="3617" xr:uid="{00000000-0005-0000-0000-0000352C0000}"/>
    <cellStyle name="Output 6 2 6 2 2" xfId="7187" xr:uid="{00000000-0005-0000-0000-0000362C0000}"/>
    <cellStyle name="Output 6 2 6 2 3" xfId="9152" xr:uid="{00000000-0005-0000-0000-0000372C0000}"/>
    <cellStyle name="Output 6 2 6 2 4" xfId="10444" xr:uid="{00000000-0005-0000-0000-0000382C0000}"/>
    <cellStyle name="Output 6 2 6 3" xfId="5746" xr:uid="{00000000-0005-0000-0000-0000392C0000}"/>
    <cellStyle name="Output 6 2 6 4" xfId="6599" xr:uid="{00000000-0005-0000-0000-00003A2C0000}"/>
    <cellStyle name="Output 6 2 6 5" xfId="11524" xr:uid="{00000000-0005-0000-0000-00003B2C0000}"/>
    <cellStyle name="Output 6 2 7" xfId="2230" xr:uid="{00000000-0005-0000-0000-00003C2C0000}"/>
    <cellStyle name="Output 6 2 7 2" xfId="3689" xr:uid="{00000000-0005-0000-0000-00003D2C0000}"/>
    <cellStyle name="Output 6 2 7 2 2" xfId="7259" xr:uid="{00000000-0005-0000-0000-00003E2C0000}"/>
    <cellStyle name="Output 6 2 7 2 3" xfId="9224" xr:uid="{00000000-0005-0000-0000-00003F2C0000}"/>
    <cellStyle name="Output 6 2 7 2 4" xfId="10516" xr:uid="{00000000-0005-0000-0000-0000402C0000}"/>
    <cellStyle name="Output 6 2 7 3" xfId="5818" xr:uid="{00000000-0005-0000-0000-0000412C0000}"/>
    <cellStyle name="Output 6 2 7 4" xfId="4525" xr:uid="{00000000-0005-0000-0000-0000422C0000}"/>
    <cellStyle name="Output 6 2 7 5" xfId="11596" xr:uid="{00000000-0005-0000-0000-0000432C0000}"/>
    <cellStyle name="Output 6 2 8" xfId="2327" xr:uid="{00000000-0005-0000-0000-0000442C0000}"/>
    <cellStyle name="Output 6 2 8 2" xfId="3784" xr:uid="{00000000-0005-0000-0000-0000452C0000}"/>
    <cellStyle name="Output 6 2 8 2 2" xfId="7354" xr:uid="{00000000-0005-0000-0000-0000462C0000}"/>
    <cellStyle name="Output 6 2 8 2 3" xfId="9317" xr:uid="{00000000-0005-0000-0000-0000472C0000}"/>
    <cellStyle name="Output 6 2 8 2 4" xfId="10611" xr:uid="{00000000-0005-0000-0000-0000482C0000}"/>
    <cellStyle name="Output 6 2 8 3" xfId="5915" xr:uid="{00000000-0005-0000-0000-0000492C0000}"/>
    <cellStyle name="Output 6 2 8 4" xfId="4573" xr:uid="{00000000-0005-0000-0000-00004A2C0000}"/>
    <cellStyle name="Output 6 2 8 5" xfId="11692" xr:uid="{00000000-0005-0000-0000-00004B2C0000}"/>
    <cellStyle name="Output 6 2 9" xfId="2419" xr:uid="{00000000-0005-0000-0000-00004C2C0000}"/>
    <cellStyle name="Output 6 2 9 2" xfId="3875" xr:uid="{00000000-0005-0000-0000-00004D2C0000}"/>
    <cellStyle name="Output 6 2 9 2 2" xfId="7445" xr:uid="{00000000-0005-0000-0000-00004E2C0000}"/>
    <cellStyle name="Output 6 2 9 2 3" xfId="9407" xr:uid="{00000000-0005-0000-0000-00004F2C0000}"/>
    <cellStyle name="Output 6 2 9 2 4" xfId="10702" xr:uid="{00000000-0005-0000-0000-0000502C0000}"/>
    <cellStyle name="Output 6 2 9 3" xfId="6007" xr:uid="{00000000-0005-0000-0000-0000512C0000}"/>
    <cellStyle name="Output 6 2 9 4" xfId="6855" xr:uid="{00000000-0005-0000-0000-0000522C0000}"/>
    <cellStyle name="Output 6 2 9 5" xfId="11783" xr:uid="{00000000-0005-0000-0000-0000532C0000}"/>
    <cellStyle name="Output 6 3" xfId="1606" xr:uid="{00000000-0005-0000-0000-0000542C0000}"/>
    <cellStyle name="Output 6 3 2" xfId="3089" xr:uid="{00000000-0005-0000-0000-0000552C0000}"/>
    <cellStyle name="Output 6 3 2 2" xfId="6666" xr:uid="{00000000-0005-0000-0000-0000562C0000}"/>
    <cellStyle name="Output 6 3 2 3" xfId="8654" xr:uid="{00000000-0005-0000-0000-0000572C0000}"/>
    <cellStyle name="Output 6 3 2 4" xfId="9970" xr:uid="{00000000-0005-0000-0000-0000582C0000}"/>
    <cellStyle name="Output 6 3 3" xfId="5203" xr:uid="{00000000-0005-0000-0000-0000592C0000}"/>
    <cellStyle name="Output 6 3 4" xfId="7902" xr:uid="{00000000-0005-0000-0000-00005A2C0000}"/>
    <cellStyle name="Output 6 3 5" xfId="11052" xr:uid="{00000000-0005-0000-0000-00005B2C0000}"/>
    <cellStyle name="Output 6 4" xfId="1354" xr:uid="{00000000-0005-0000-0000-00005C2C0000}"/>
    <cellStyle name="Output 6 4 2" xfId="2850" xr:uid="{00000000-0005-0000-0000-00005D2C0000}"/>
    <cellStyle name="Output 6 4 2 2" xfId="6429" xr:uid="{00000000-0005-0000-0000-00005E2C0000}"/>
    <cellStyle name="Output 6 4 2 3" xfId="8430" xr:uid="{00000000-0005-0000-0000-00005F2C0000}"/>
    <cellStyle name="Output 6 4 2 4" xfId="9755" xr:uid="{00000000-0005-0000-0000-0000602C0000}"/>
    <cellStyle name="Output 6 4 3" xfId="4952" xr:uid="{00000000-0005-0000-0000-0000612C0000}"/>
    <cellStyle name="Output 6 4 4" xfId="7681" xr:uid="{00000000-0005-0000-0000-0000622C0000}"/>
    <cellStyle name="Output 6 4 5" xfId="10837" xr:uid="{00000000-0005-0000-0000-0000632C0000}"/>
    <cellStyle name="Output 6 5" xfId="1957" xr:uid="{00000000-0005-0000-0000-0000642C0000}"/>
    <cellStyle name="Output 6 5 2" xfId="3421" xr:uid="{00000000-0005-0000-0000-0000652C0000}"/>
    <cellStyle name="Output 6 5 2 2" xfId="6991" xr:uid="{00000000-0005-0000-0000-0000662C0000}"/>
    <cellStyle name="Output 6 5 2 3" xfId="8957" xr:uid="{00000000-0005-0000-0000-0000672C0000}"/>
    <cellStyle name="Output 6 5 2 4" xfId="10248" xr:uid="{00000000-0005-0000-0000-0000682C0000}"/>
    <cellStyle name="Output 6 5 3" xfId="5545" xr:uid="{00000000-0005-0000-0000-0000692C0000}"/>
    <cellStyle name="Output 6 5 4" xfId="7923" xr:uid="{00000000-0005-0000-0000-00006A2C0000}"/>
    <cellStyle name="Output 6 5 5" xfId="11326" xr:uid="{00000000-0005-0000-0000-00006B2C0000}"/>
    <cellStyle name="Output 6 6" xfId="2631" xr:uid="{00000000-0005-0000-0000-00006C2C0000}"/>
    <cellStyle name="Output 6 6 2" xfId="6219" xr:uid="{00000000-0005-0000-0000-00006D2C0000}"/>
    <cellStyle name="Output 6 6 3" xfId="8243" xr:uid="{00000000-0005-0000-0000-00006E2C0000}"/>
    <cellStyle name="Output 6 6 4" xfId="9593" xr:uid="{00000000-0005-0000-0000-00006F2C0000}"/>
    <cellStyle name="Output 6 7" xfId="4617" xr:uid="{00000000-0005-0000-0000-0000702C0000}"/>
    <cellStyle name="Output 6 8" xfId="4259" xr:uid="{00000000-0005-0000-0000-0000712C0000}"/>
    <cellStyle name="Output 6 9" xfId="4866" xr:uid="{00000000-0005-0000-0000-0000722C0000}"/>
    <cellStyle name="Output 7" xfId="1002" xr:uid="{00000000-0005-0000-0000-0000732C0000}"/>
    <cellStyle name="Output 7 2" xfId="1246" xr:uid="{00000000-0005-0000-0000-0000742C0000}"/>
    <cellStyle name="Output 7 2 10" xfId="2489" xr:uid="{00000000-0005-0000-0000-0000752C0000}"/>
    <cellStyle name="Output 7 2 10 2" xfId="3944" xr:uid="{00000000-0005-0000-0000-0000762C0000}"/>
    <cellStyle name="Output 7 2 10 2 2" xfId="7514" xr:uid="{00000000-0005-0000-0000-0000772C0000}"/>
    <cellStyle name="Output 7 2 10 2 3" xfId="9474" xr:uid="{00000000-0005-0000-0000-0000782C0000}"/>
    <cellStyle name="Output 7 2 10 2 4" xfId="10771" xr:uid="{00000000-0005-0000-0000-0000792C0000}"/>
    <cellStyle name="Output 7 2 10 3" xfId="6077" xr:uid="{00000000-0005-0000-0000-00007A2C0000}"/>
    <cellStyle name="Output 7 2 10 4" xfId="4626" xr:uid="{00000000-0005-0000-0000-00007B2C0000}"/>
    <cellStyle name="Output 7 2 10 5" xfId="11853" xr:uid="{00000000-0005-0000-0000-00007C2C0000}"/>
    <cellStyle name="Output 7 2 11" xfId="2542" xr:uid="{00000000-0005-0000-0000-00007D2C0000}"/>
    <cellStyle name="Output 7 2 11 2" xfId="3997" xr:uid="{00000000-0005-0000-0000-00007E2C0000}"/>
    <cellStyle name="Output 7 2 11 2 2" xfId="7567" xr:uid="{00000000-0005-0000-0000-00007F2C0000}"/>
    <cellStyle name="Output 7 2 11 2 3" xfId="9527" xr:uid="{00000000-0005-0000-0000-0000802C0000}"/>
    <cellStyle name="Output 7 2 11 2 4" xfId="10824" xr:uid="{00000000-0005-0000-0000-0000812C0000}"/>
    <cellStyle name="Output 7 2 11 3" xfId="6130" xr:uid="{00000000-0005-0000-0000-0000822C0000}"/>
    <cellStyle name="Output 7 2 11 4" xfId="4852" xr:uid="{00000000-0005-0000-0000-0000832C0000}"/>
    <cellStyle name="Output 7 2 11 5" xfId="11906" xr:uid="{00000000-0005-0000-0000-0000842C0000}"/>
    <cellStyle name="Output 7 2 12" xfId="2751" xr:uid="{00000000-0005-0000-0000-0000852C0000}"/>
    <cellStyle name="Output 7 2 12 2" xfId="6334" xr:uid="{00000000-0005-0000-0000-0000862C0000}"/>
    <cellStyle name="Output 7 2 12 3" xfId="8346" xr:uid="{00000000-0005-0000-0000-0000872C0000}"/>
    <cellStyle name="Output 7 2 12 4" xfId="9683" xr:uid="{00000000-0005-0000-0000-0000882C0000}"/>
    <cellStyle name="Output 7 2 13" xfId="4845" xr:uid="{00000000-0005-0000-0000-0000892C0000}"/>
    <cellStyle name="Output 7 2 14" xfId="4120" xr:uid="{00000000-0005-0000-0000-00008A2C0000}"/>
    <cellStyle name="Output 7 2 15" xfId="7695" xr:uid="{00000000-0005-0000-0000-00008B2C0000}"/>
    <cellStyle name="Output 7 2 2" xfId="1787" xr:uid="{00000000-0005-0000-0000-00008C2C0000}"/>
    <cellStyle name="Output 7 2 2 2" xfId="3264" xr:uid="{00000000-0005-0000-0000-00008D2C0000}"/>
    <cellStyle name="Output 7 2 2 2 2" xfId="6837" xr:uid="{00000000-0005-0000-0000-00008E2C0000}"/>
    <cellStyle name="Output 7 2 2 2 3" xfId="8813" xr:uid="{00000000-0005-0000-0000-00008F2C0000}"/>
    <cellStyle name="Output 7 2 2 2 4" xfId="10114" xr:uid="{00000000-0005-0000-0000-0000902C0000}"/>
    <cellStyle name="Output 7 2 2 3" xfId="5379" xr:uid="{00000000-0005-0000-0000-0000912C0000}"/>
    <cellStyle name="Output 7 2 2 4" xfId="8261" xr:uid="{00000000-0005-0000-0000-0000922C0000}"/>
    <cellStyle name="Output 7 2 2 5" xfId="11191" xr:uid="{00000000-0005-0000-0000-0000932C0000}"/>
    <cellStyle name="Output 7 2 3" xfId="1953" xr:uid="{00000000-0005-0000-0000-0000942C0000}"/>
    <cellStyle name="Output 7 2 3 2" xfId="3417" xr:uid="{00000000-0005-0000-0000-0000952C0000}"/>
    <cellStyle name="Output 7 2 3 2 2" xfId="6987" xr:uid="{00000000-0005-0000-0000-0000962C0000}"/>
    <cellStyle name="Output 7 2 3 2 3" xfId="8953" xr:uid="{00000000-0005-0000-0000-0000972C0000}"/>
    <cellStyle name="Output 7 2 3 2 4" xfId="10244" xr:uid="{00000000-0005-0000-0000-0000982C0000}"/>
    <cellStyle name="Output 7 2 3 3" xfId="5541" xr:uid="{00000000-0005-0000-0000-0000992C0000}"/>
    <cellStyle name="Output 7 2 3 4" xfId="7792" xr:uid="{00000000-0005-0000-0000-00009A2C0000}"/>
    <cellStyle name="Output 7 2 3 5" xfId="11322" xr:uid="{00000000-0005-0000-0000-00009B2C0000}"/>
    <cellStyle name="Output 7 2 4" xfId="2023" xr:uid="{00000000-0005-0000-0000-00009C2C0000}"/>
    <cellStyle name="Output 7 2 4 2" xfId="3486" xr:uid="{00000000-0005-0000-0000-00009D2C0000}"/>
    <cellStyle name="Output 7 2 4 2 2" xfId="7056" xr:uid="{00000000-0005-0000-0000-00009E2C0000}"/>
    <cellStyle name="Output 7 2 4 2 3" xfId="9022" xr:uid="{00000000-0005-0000-0000-00009F2C0000}"/>
    <cellStyle name="Output 7 2 4 2 4" xfId="10313" xr:uid="{00000000-0005-0000-0000-0000A02C0000}"/>
    <cellStyle name="Output 7 2 4 3" xfId="5611" xr:uid="{00000000-0005-0000-0000-0000A12C0000}"/>
    <cellStyle name="Output 7 2 4 4" xfId="7620" xr:uid="{00000000-0005-0000-0000-0000A22C0000}"/>
    <cellStyle name="Output 7 2 4 5" xfId="11391" xr:uid="{00000000-0005-0000-0000-0000A32C0000}"/>
    <cellStyle name="Output 7 2 5" xfId="2091" xr:uid="{00000000-0005-0000-0000-0000A42C0000}"/>
    <cellStyle name="Output 7 2 5 2" xfId="3551" xr:uid="{00000000-0005-0000-0000-0000A52C0000}"/>
    <cellStyle name="Output 7 2 5 2 2" xfId="7121" xr:uid="{00000000-0005-0000-0000-0000A62C0000}"/>
    <cellStyle name="Output 7 2 5 2 3" xfId="9087" xr:uid="{00000000-0005-0000-0000-0000A72C0000}"/>
    <cellStyle name="Output 7 2 5 2 4" xfId="10378" xr:uid="{00000000-0005-0000-0000-0000A82C0000}"/>
    <cellStyle name="Output 7 2 5 3" xfId="5679" xr:uid="{00000000-0005-0000-0000-0000A92C0000}"/>
    <cellStyle name="Output 7 2 5 4" xfId="4063" xr:uid="{00000000-0005-0000-0000-0000AA2C0000}"/>
    <cellStyle name="Output 7 2 5 5" xfId="11458" xr:uid="{00000000-0005-0000-0000-0000AB2C0000}"/>
    <cellStyle name="Output 7 2 6" xfId="2159" xr:uid="{00000000-0005-0000-0000-0000AC2C0000}"/>
    <cellStyle name="Output 7 2 6 2" xfId="3618" xr:uid="{00000000-0005-0000-0000-0000AD2C0000}"/>
    <cellStyle name="Output 7 2 6 2 2" xfId="7188" xr:uid="{00000000-0005-0000-0000-0000AE2C0000}"/>
    <cellStyle name="Output 7 2 6 2 3" xfId="9153" xr:uid="{00000000-0005-0000-0000-0000AF2C0000}"/>
    <cellStyle name="Output 7 2 6 2 4" xfId="10445" xr:uid="{00000000-0005-0000-0000-0000B02C0000}"/>
    <cellStyle name="Output 7 2 6 3" xfId="5747" xr:uid="{00000000-0005-0000-0000-0000B12C0000}"/>
    <cellStyle name="Output 7 2 6 4" xfId="4948" xr:uid="{00000000-0005-0000-0000-0000B22C0000}"/>
    <cellStyle name="Output 7 2 6 5" xfId="11525" xr:uid="{00000000-0005-0000-0000-0000B32C0000}"/>
    <cellStyle name="Output 7 2 7" xfId="2231" xr:uid="{00000000-0005-0000-0000-0000B42C0000}"/>
    <cellStyle name="Output 7 2 7 2" xfId="3690" xr:uid="{00000000-0005-0000-0000-0000B52C0000}"/>
    <cellStyle name="Output 7 2 7 2 2" xfId="7260" xr:uid="{00000000-0005-0000-0000-0000B62C0000}"/>
    <cellStyle name="Output 7 2 7 2 3" xfId="9225" xr:uid="{00000000-0005-0000-0000-0000B72C0000}"/>
    <cellStyle name="Output 7 2 7 2 4" xfId="10517" xr:uid="{00000000-0005-0000-0000-0000B82C0000}"/>
    <cellStyle name="Output 7 2 7 3" xfId="5819" xr:uid="{00000000-0005-0000-0000-0000B92C0000}"/>
    <cellStyle name="Output 7 2 7 4" xfId="4526" xr:uid="{00000000-0005-0000-0000-0000BA2C0000}"/>
    <cellStyle name="Output 7 2 7 5" xfId="11597" xr:uid="{00000000-0005-0000-0000-0000BB2C0000}"/>
    <cellStyle name="Output 7 2 8" xfId="2328" xr:uid="{00000000-0005-0000-0000-0000BC2C0000}"/>
    <cellStyle name="Output 7 2 8 2" xfId="3785" xr:uid="{00000000-0005-0000-0000-0000BD2C0000}"/>
    <cellStyle name="Output 7 2 8 2 2" xfId="7355" xr:uid="{00000000-0005-0000-0000-0000BE2C0000}"/>
    <cellStyle name="Output 7 2 8 2 3" xfId="9318" xr:uid="{00000000-0005-0000-0000-0000BF2C0000}"/>
    <cellStyle name="Output 7 2 8 2 4" xfId="10612" xr:uid="{00000000-0005-0000-0000-0000C02C0000}"/>
    <cellStyle name="Output 7 2 8 3" xfId="5916" xr:uid="{00000000-0005-0000-0000-0000C12C0000}"/>
    <cellStyle name="Output 7 2 8 4" xfId="4574" xr:uid="{00000000-0005-0000-0000-0000C22C0000}"/>
    <cellStyle name="Output 7 2 8 5" xfId="11693" xr:uid="{00000000-0005-0000-0000-0000C32C0000}"/>
    <cellStyle name="Output 7 2 9" xfId="2420" xr:uid="{00000000-0005-0000-0000-0000C42C0000}"/>
    <cellStyle name="Output 7 2 9 2" xfId="3876" xr:uid="{00000000-0005-0000-0000-0000C52C0000}"/>
    <cellStyle name="Output 7 2 9 2 2" xfId="7446" xr:uid="{00000000-0005-0000-0000-0000C62C0000}"/>
    <cellStyle name="Output 7 2 9 2 3" xfId="9408" xr:uid="{00000000-0005-0000-0000-0000C72C0000}"/>
    <cellStyle name="Output 7 2 9 2 4" xfId="10703" xr:uid="{00000000-0005-0000-0000-0000C82C0000}"/>
    <cellStyle name="Output 7 2 9 3" xfId="6008" xr:uid="{00000000-0005-0000-0000-0000C92C0000}"/>
    <cellStyle name="Output 7 2 9 4" xfId="6350" xr:uid="{00000000-0005-0000-0000-0000CA2C0000}"/>
    <cellStyle name="Output 7 2 9 5" xfId="11784" xr:uid="{00000000-0005-0000-0000-0000CB2C0000}"/>
    <cellStyle name="Output 7 3" xfId="1607" xr:uid="{00000000-0005-0000-0000-0000CC2C0000}"/>
    <cellStyle name="Output 7 3 2" xfId="3090" xr:uid="{00000000-0005-0000-0000-0000CD2C0000}"/>
    <cellStyle name="Output 7 3 2 2" xfId="6667" xr:uid="{00000000-0005-0000-0000-0000CE2C0000}"/>
    <cellStyle name="Output 7 3 2 3" xfId="8655" xr:uid="{00000000-0005-0000-0000-0000CF2C0000}"/>
    <cellStyle name="Output 7 3 2 4" xfId="9971" xr:uid="{00000000-0005-0000-0000-0000D02C0000}"/>
    <cellStyle name="Output 7 3 3" xfId="5204" xr:uid="{00000000-0005-0000-0000-0000D12C0000}"/>
    <cellStyle name="Output 7 3 4" xfId="8746" xr:uid="{00000000-0005-0000-0000-0000D22C0000}"/>
    <cellStyle name="Output 7 3 5" xfId="11053" xr:uid="{00000000-0005-0000-0000-0000D32C0000}"/>
    <cellStyle name="Output 7 4" xfId="1353" xr:uid="{00000000-0005-0000-0000-0000D42C0000}"/>
    <cellStyle name="Output 7 4 2" xfId="2849" xr:uid="{00000000-0005-0000-0000-0000D52C0000}"/>
    <cellStyle name="Output 7 4 2 2" xfId="6428" xr:uid="{00000000-0005-0000-0000-0000D62C0000}"/>
    <cellStyle name="Output 7 4 2 3" xfId="8429" xr:uid="{00000000-0005-0000-0000-0000D72C0000}"/>
    <cellStyle name="Output 7 4 2 4" xfId="9754" xr:uid="{00000000-0005-0000-0000-0000D82C0000}"/>
    <cellStyle name="Output 7 4 3" xfId="4951" xr:uid="{00000000-0005-0000-0000-0000D92C0000}"/>
    <cellStyle name="Output 7 4 4" xfId="7988" xr:uid="{00000000-0005-0000-0000-0000DA2C0000}"/>
    <cellStyle name="Output 7 4 5" xfId="10836" xr:uid="{00000000-0005-0000-0000-0000DB2C0000}"/>
    <cellStyle name="Output 7 5" xfId="2167" xr:uid="{00000000-0005-0000-0000-0000DC2C0000}"/>
    <cellStyle name="Output 7 5 2" xfId="3626" xr:uid="{00000000-0005-0000-0000-0000DD2C0000}"/>
    <cellStyle name="Output 7 5 2 2" xfId="7196" xr:uid="{00000000-0005-0000-0000-0000DE2C0000}"/>
    <cellStyle name="Output 7 5 2 3" xfId="9161" xr:uid="{00000000-0005-0000-0000-0000DF2C0000}"/>
    <cellStyle name="Output 7 5 2 4" xfId="10453" xr:uid="{00000000-0005-0000-0000-0000E02C0000}"/>
    <cellStyle name="Output 7 5 3" xfId="5755" xr:uid="{00000000-0005-0000-0000-0000E12C0000}"/>
    <cellStyle name="Output 7 5 4" xfId="5465" xr:uid="{00000000-0005-0000-0000-0000E22C0000}"/>
    <cellStyle name="Output 7 5 5" xfId="11533" xr:uid="{00000000-0005-0000-0000-0000E32C0000}"/>
    <cellStyle name="Output 7 6" xfId="2632" xr:uid="{00000000-0005-0000-0000-0000E42C0000}"/>
    <cellStyle name="Output 7 6 2" xfId="6220" xr:uid="{00000000-0005-0000-0000-0000E52C0000}"/>
    <cellStyle name="Output 7 6 3" xfId="8244" xr:uid="{00000000-0005-0000-0000-0000E62C0000}"/>
    <cellStyle name="Output 7 6 4" xfId="9594" xr:uid="{00000000-0005-0000-0000-0000E72C0000}"/>
    <cellStyle name="Output 7 7" xfId="4618" xr:uid="{00000000-0005-0000-0000-0000E82C0000}"/>
    <cellStyle name="Output 7 8" xfId="4258" xr:uid="{00000000-0005-0000-0000-0000E92C0000}"/>
    <cellStyle name="Output 7 9" xfId="7863" xr:uid="{00000000-0005-0000-0000-0000EA2C0000}"/>
    <cellStyle name="Output 8" xfId="1003" xr:uid="{00000000-0005-0000-0000-0000EB2C0000}"/>
    <cellStyle name="Output 8 2" xfId="1247" xr:uid="{00000000-0005-0000-0000-0000EC2C0000}"/>
    <cellStyle name="Output 8 2 10" xfId="2490" xr:uid="{00000000-0005-0000-0000-0000ED2C0000}"/>
    <cellStyle name="Output 8 2 10 2" xfId="3945" xr:uid="{00000000-0005-0000-0000-0000EE2C0000}"/>
    <cellStyle name="Output 8 2 10 2 2" xfId="7515" xr:uid="{00000000-0005-0000-0000-0000EF2C0000}"/>
    <cellStyle name="Output 8 2 10 2 3" xfId="9475" xr:uid="{00000000-0005-0000-0000-0000F02C0000}"/>
    <cellStyle name="Output 8 2 10 2 4" xfId="10772" xr:uid="{00000000-0005-0000-0000-0000F12C0000}"/>
    <cellStyle name="Output 8 2 10 3" xfId="6078" xr:uid="{00000000-0005-0000-0000-0000F22C0000}"/>
    <cellStyle name="Output 8 2 10 4" xfId="4627" xr:uid="{00000000-0005-0000-0000-0000F32C0000}"/>
    <cellStyle name="Output 8 2 10 5" xfId="11854" xr:uid="{00000000-0005-0000-0000-0000F42C0000}"/>
    <cellStyle name="Output 8 2 11" xfId="2543" xr:uid="{00000000-0005-0000-0000-0000F52C0000}"/>
    <cellStyle name="Output 8 2 11 2" xfId="3998" xr:uid="{00000000-0005-0000-0000-0000F62C0000}"/>
    <cellStyle name="Output 8 2 11 2 2" xfId="7568" xr:uid="{00000000-0005-0000-0000-0000F72C0000}"/>
    <cellStyle name="Output 8 2 11 2 3" xfId="9528" xr:uid="{00000000-0005-0000-0000-0000F82C0000}"/>
    <cellStyle name="Output 8 2 11 2 4" xfId="10825" xr:uid="{00000000-0005-0000-0000-0000F92C0000}"/>
    <cellStyle name="Output 8 2 11 3" xfId="6131" xr:uid="{00000000-0005-0000-0000-0000FA2C0000}"/>
    <cellStyle name="Output 8 2 11 4" xfId="5383" xr:uid="{00000000-0005-0000-0000-0000FB2C0000}"/>
    <cellStyle name="Output 8 2 11 5" xfId="11907" xr:uid="{00000000-0005-0000-0000-0000FC2C0000}"/>
    <cellStyle name="Output 8 2 12" xfId="2752" xr:uid="{00000000-0005-0000-0000-0000FD2C0000}"/>
    <cellStyle name="Output 8 2 12 2" xfId="6335" xr:uid="{00000000-0005-0000-0000-0000FE2C0000}"/>
    <cellStyle name="Output 8 2 12 3" xfId="8347" xr:uid="{00000000-0005-0000-0000-0000FF2C0000}"/>
    <cellStyle name="Output 8 2 12 4" xfId="9684" xr:uid="{00000000-0005-0000-0000-0000002D0000}"/>
    <cellStyle name="Output 8 2 13" xfId="4846" xr:uid="{00000000-0005-0000-0000-0000012D0000}"/>
    <cellStyle name="Output 8 2 14" xfId="4119" xr:uid="{00000000-0005-0000-0000-0000022D0000}"/>
    <cellStyle name="Output 8 2 15" xfId="8090" xr:uid="{00000000-0005-0000-0000-0000032D0000}"/>
    <cellStyle name="Output 8 2 2" xfId="1788" xr:uid="{00000000-0005-0000-0000-0000042D0000}"/>
    <cellStyle name="Output 8 2 2 2" xfId="3265" xr:uid="{00000000-0005-0000-0000-0000052D0000}"/>
    <cellStyle name="Output 8 2 2 2 2" xfId="6838" xr:uid="{00000000-0005-0000-0000-0000062D0000}"/>
    <cellStyle name="Output 8 2 2 2 3" xfId="8814" xr:uid="{00000000-0005-0000-0000-0000072D0000}"/>
    <cellStyle name="Output 8 2 2 2 4" xfId="10115" xr:uid="{00000000-0005-0000-0000-0000082D0000}"/>
    <cellStyle name="Output 8 2 2 3" xfId="5380" xr:uid="{00000000-0005-0000-0000-0000092D0000}"/>
    <cellStyle name="Output 8 2 2 4" xfId="8720" xr:uid="{00000000-0005-0000-0000-00000A2D0000}"/>
    <cellStyle name="Output 8 2 2 5" xfId="11192" xr:uid="{00000000-0005-0000-0000-00000B2D0000}"/>
    <cellStyle name="Output 8 2 3" xfId="1954" xr:uid="{00000000-0005-0000-0000-00000C2D0000}"/>
    <cellStyle name="Output 8 2 3 2" xfId="3418" xr:uid="{00000000-0005-0000-0000-00000D2D0000}"/>
    <cellStyle name="Output 8 2 3 2 2" xfId="6988" xr:uid="{00000000-0005-0000-0000-00000E2D0000}"/>
    <cellStyle name="Output 8 2 3 2 3" xfId="8954" xr:uid="{00000000-0005-0000-0000-00000F2D0000}"/>
    <cellStyle name="Output 8 2 3 2 4" xfId="10245" xr:uid="{00000000-0005-0000-0000-0000102D0000}"/>
    <cellStyle name="Output 8 2 3 3" xfId="5542" xr:uid="{00000000-0005-0000-0000-0000112D0000}"/>
    <cellStyle name="Output 8 2 3 4" xfId="8002" xr:uid="{00000000-0005-0000-0000-0000122D0000}"/>
    <cellStyle name="Output 8 2 3 5" xfId="11323" xr:uid="{00000000-0005-0000-0000-0000132D0000}"/>
    <cellStyle name="Output 8 2 4" xfId="2024" xr:uid="{00000000-0005-0000-0000-0000142D0000}"/>
    <cellStyle name="Output 8 2 4 2" xfId="3487" xr:uid="{00000000-0005-0000-0000-0000152D0000}"/>
    <cellStyle name="Output 8 2 4 2 2" xfId="7057" xr:uid="{00000000-0005-0000-0000-0000162D0000}"/>
    <cellStyle name="Output 8 2 4 2 3" xfId="9023" xr:uid="{00000000-0005-0000-0000-0000172D0000}"/>
    <cellStyle name="Output 8 2 4 2 4" xfId="10314" xr:uid="{00000000-0005-0000-0000-0000182D0000}"/>
    <cellStyle name="Output 8 2 4 3" xfId="5612" xr:uid="{00000000-0005-0000-0000-0000192D0000}"/>
    <cellStyle name="Output 8 2 4 4" xfId="8066" xr:uid="{00000000-0005-0000-0000-00001A2D0000}"/>
    <cellStyle name="Output 8 2 4 5" xfId="11392" xr:uid="{00000000-0005-0000-0000-00001B2D0000}"/>
    <cellStyle name="Output 8 2 5" xfId="2092" xr:uid="{00000000-0005-0000-0000-00001C2D0000}"/>
    <cellStyle name="Output 8 2 5 2" xfId="3552" xr:uid="{00000000-0005-0000-0000-00001D2D0000}"/>
    <cellStyle name="Output 8 2 5 2 2" xfId="7122" xr:uid="{00000000-0005-0000-0000-00001E2D0000}"/>
    <cellStyle name="Output 8 2 5 2 3" xfId="9088" xr:uid="{00000000-0005-0000-0000-00001F2D0000}"/>
    <cellStyle name="Output 8 2 5 2 4" xfId="10379" xr:uid="{00000000-0005-0000-0000-0000202D0000}"/>
    <cellStyle name="Output 8 2 5 3" xfId="5680" xr:uid="{00000000-0005-0000-0000-0000212D0000}"/>
    <cellStyle name="Output 8 2 5 4" xfId="7659" xr:uid="{00000000-0005-0000-0000-0000222D0000}"/>
    <cellStyle name="Output 8 2 5 5" xfId="11459" xr:uid="{00000000-0005-0000-0000-0000232D0000}"/>
    <cellStyle name="Output 8 2 6" xfId="2160" xr:uid="{00000000-0005-0000-0000-0000242D0000}"/>
    <cellStyle name="Output 8 2 6 2" xfId="3619" xr:uid="{00000000-0005-0000-0000-0000252D0000}"/>
    <cellStyle name="Output 8 2 6 2 2" xfId="7189" xr:uid="{00000000-0005-0000-0000-0000262D0000}"/>
    <cellStyle name="Output 8 2 6 2 3" xfId="9154" xr:uid="{00000000-0005-0000-0000-0000272D0000}"/>
    <cellStyle name="Output 8 2 6 2 4" xfId="10446" xr:uid="{00000000-0005-0000-0000-0000282D0000}"/>
    <cellStyle name="Output 8 2 6 3" xfId="5748" xr:uid="{00000000-0005-0000-0000-0000292D0000}"/>
    <cellStyle name="Output 8 2 6 4" xfId="4505" xr:uid="{00000000-0005-0000-0000-00002A2D0000}"/>
    <cellStyle name="Output 8 2 6 5" xfId="11526" xr:uid="{00000000-0005-0000-0000-00002B2D0000}"/>
    <cellStyle name="Output 8 2 7" xfId="2232" xr:uid="{00000000-0005-0000-0000-00002C2D0000}"/>
    <cellStyle name="Output 8 2 7 2" xfId="3691" xr:uid="{00000000-0005-0000-0000-00002D2D0000}"/>
    <cellStyle name="Output 8 2 7 2 2" xfId="7261" xr:uid="{00000000-0005-0000-0000-00002E2D0000}"/>
    <cellStyle name="Output 8 2 7 2 3" xfId="9226" xr:uid="{00000000-0005-0000-0000-00002F2D0000}"/>
    <cellStyle name="Output 8 2 7 2 4" xfId="10518" xr:uid="{00000000-0005-0000-0000-0000302D0000}"/>
    <cellStyle name="Output 8 2 7 3" xfId="5820" xr:uid="{00000000-0005-0000-0000-0000312D0000}"/>
    <cellStyle name="Output 8 2 7 4" xfId="4527" xr:uid="{00000000-0005-0000-0000-0000322D0000}"/>
    <cellStyle name="Output 8 2 7 5" xfId="11598" xr:uid="{00000000-0005-0000-0000-0000332D0000}"/>
    <cellStyle name="Output 8 2 8" xfId="2329" xr:uid="{00000000-0005-0000-0000-0000342D0000}"/>
    <cellStyle name="Output 8 2 8 2" xfId="3786" xr:uid="{00000000-0005-0000-0000-0000352D0000}"/>
    <cellStyle name="Output 8 2 8 2 2" xfId="7356" xr:uid="{00000000-0005-0000-0000-0000362D0000}"/>
    <cellStyle name="Output 8 2 8 2 3" xfId="9319" xr:uid="{00000000-0005-0000-0000-0000372D0000}"/>
    <cellStyle name="Output 8 2 8 2 4" xfId="10613" xr:uid="{00000000-0005-0000-0000-0000382D0000}"/>
    <cellStyle name="Output 8 2 8 3" xfId="5917" xr:uid="{00000000-0005-0000-0000-0000392D0000}"/>
    <cellStyle name="Output 8 2 8 4" xfId="4575" xr:uid="{00000000-0005-0000-0000-00003A2D0000}"/>
    <cellStyle name="Output 8 2 8 5" xfId="11694" xr:uid="{00000000-0005-0000-0000-00003B2D0000}"/>
    <cellStyle name="Output 8 2 9" xfId="2421" xr:uid="{00000000-0005-0000-0000-00003C2D0000}"/>
    <cellStyle name="Output 8 2 9 2" xfId="3877" xr:uid="{00000000-0005-0000-0000-00003D2D0000}"/>
    <cellStyle name="Output 8 2 9 2 2" xfId="7447" xr:uid="{00000000-0005-0000-0000-00003E2D0000}"/>
    <cellStyle name="Output 8 2 9 2 3" xfId="9409" xr:uid="{00000000-0005-0000-0000-00003F2D0000}"/>
    <cellStyle name="Output 8 2 9 2 4" xfId="10704" xr:uid="{00000000-0005-0000-0000-0000402D0000}"/>
    <cellStyle name="Output 8 2 9 3" xfId="6009" xr:uid="{00000000-0005-0000-0000-0000412D0000}"/>
    <cellStyle name="Output 8 2 9 4" xfId="5265" xr:uid="{00000000-0005-0000-0000-0000422D0000}"/>
    <cellStyle name="Output 8 2 9 5" xfId="11785" xr:uid="{00000000-0005-0000-0000-0000432D0000}"/>
    <cellStyle name="Output 8 3" xfId="1608" xr:uid="{00000000-0005-0000-0000-0000442D0000}"/>
    <cellStyle name="Output 8 3 2" xfId="3091" xr:uid="{00000000-0005-0000-0000-0000452D0000}"/>
    <cellStyle name="Output 8 3 2 2" xfId="6668" xr:uid="{00000000-0005-0000-0000-0000462D0000}"/>
    <cellStyle name="Output 8 3 2 3" xfId="8656" xr:uid="{00000000-0005-0000-0000-0000472D0000}"/>
    <cellStyle name="Output 8 3 2 4" xfId="9972" xr:uid="{00000000-0005-0000-0000-0000482D0000}"/>
    <cellStyle name="Output 8 3 3" xfId="5205" xr:uid="{00000000-0005-0000-0000-0000492D0000}"/>
    <cellStyle name="Output 8 3 4" xfId="7805" xr:uid="{00000000-0005-0000-0000-00004A2D0000}"/>
    <cellStyle name="Output 8 3 5" xfId="11054" xr:uid="{00000000-0005-0000-0000-00004B2D0000}"/>
    <cellStyle name="Output 8 4" xfId="1352" xr:uid="{00000000-0005-0000-0000-00004C2D0000}"/>
    <cellStyle name="Output 8 4 2" xfId="2848" xr:uid="{00000000-0005-0000-0000-00004D2D0000}"/>
    <cellStyle name="Output 8 4 2 2" xfId="6427" xr:uid="{00000000-0005-0000-0000-00004E2D0000}"/>
    <cellStyle name="Output 8 4 2 3" xfId="8428" xr:uid="{00000000-0005-0000-0000-00004F2D0000}"/>
    <cellStyle name="Output 8 4 2 4" xfId="9753" xr:uid="{00000000-0005-0000-0000-0000502D0000}"/>
    <cellStyle name="Output 8 4 3" xfId="4950" xr:uid="{00000000-0005-0000-0000-0000512D0000}"/>
    <cellStyle name="Output 8 4 4" xfId="8041" xr:uid="{00000000-0005-0000-0000-0000522D0000}"/>
    <cellStyle name="Output 8 4 5" xfId="10835" xr:uid="{00000000-0005-0000-0000-0000532D0000}"/>
    <cellStyle name="Output 8 5" xfId="1460" xr:uid="{00000000-0005-0000-0000-0000542D0000}"/>
    <cellStyle name="Output 8 5 2" xfId="2945" xr:uid="{00000000-0005-0000-0000-0000552D0000}"/>
    <cellStyle name="Output 8 5 2 2" xfId="6522" xr:uid="{00000000-0005-0000-0000-0000562D0000}"/>
    <cellStyle name="Output 8 5 2 3" xfId="8525" xr:uid="{00000000-0005-0000-0000-0000572D0000}"/>
    <cellStyle name="Output 8 5 2 4" xfId="9846" xr:uid="{00000000-0005-0000-0000-0000582D0000}"/>
    <cellStyle name="Output 8 5 3" xfId="5057" xr:uid="{00000000-0005-0000-0000-0000592D0000}"/>
    <cellStyle name="Output 8 5 4" xfId="7686" xr:uid="{00000000-0005-0000-0000-00005A2D0000}"/>
    <cellStyle name="Output 8 5 5" xfId="10927" xr:uid="{00000000-0005-0000-0000-00005B2D0000}"/>
    <cellStyle name="Output 8 6" xfId="2633" xr:uid="{00000000-0005-0000-0000-00005C2D0000}"/>
    <cellStyle name="Output 8 6 2" xfId="6221" xr:uid="{00000000-0005-0000-0000-00005D2D0000}"/>
    <cellStyle name="Output 8 6 3" xfId="8245" xr:uid="{00000000-0005-0000-0000-00005E2D0000}"/>
    <cellStyle name="Output 8 6 4" xfId="9595" xr:uid="{00000000-0005-0000-0000-00005F2D0000}"/>
    <cellStyle name="Output 8 7" xfId="4619" xr:uid="{00000000-0005-0000-0000-0000602D0000}"/>
    <cellStyle name="Output 8 8" xfId="4257" xr:uid="{00000000-0005-0000-0000-0000612D0000}"/>
    <cellStyle name="Output 8 9" xfId="8598" xr:uid="{00000000-0005-0000-0000-0000622D0000}"/>
    <cellStyle name="Output 9" xfId="1004" xr:uid="{00000000-0005-0000-0000-0000632D0000}"/>
    <cellStyle name="Output 9 2" xfId="1248" xr:uid="{00000000-0005-0000-0000-0000642D0000}"/>
    <cellStyle name="Output 9 2 10" xfId="2491" xr:uid="{00000000-0005-0000-0000-0000652D0000}"/>
    <cellStyle name="Output 9 2 10 2" xfId="3946" xr:uid="{00000000-0005-0000-0000-0000662D0000}"/>
    <cellStyle name="Output 9 2 10 2 2" xfId="7516" xr:uid="{00000000-0005-0000-0000-0000672D0000}"/>
    <cellStyle name="Output 9 2 10 2 3" xfId="9476" xr:uid="{00000000-0005-0000-0000-0000682D0000}"/>
    <cellStyle name="Output 9 2 10 2 4" xfId="10773" xr:uid="{00000000-0005-0000-0000-0000692D0000}"/>
    <cellStyle name="Output 9 2 10 3" xfId="6079" xr:uid="{00000000-0005-0000-0000-00006A2D0000}"/>
    <cellStyle name="Output 9 2 10 4" xfId="4628" xr:uid="{00000000-0005-0000-0000-00006B2D0000}"/>
    <cellStyle name="Output 9 2 10 5" xfId="11855" xr:uid="{00000000-0005-0000-0000-00006C2D0000}"/>
    <cellStyle name="Output 9 2 11" xfId="2544" xr:uid="{00000000-0005-0000-0000-00006D2D0000}"/>
    <cellStyle name="Output 9 2 11 2" xfId="3999" xr:uid="{00000000-0005-0000-0000-00006E2D0000}"/>
    <cellStyle name="Output 9 2 11 2 2" xfId="7569" xr:uid="{00000000-0005-0000-0000-00006F2D0000}"/>
    <cellStyle name="Output 9 2 11 2 3" xfId="9529" xr:uid="{00000000-0005-0000-0000-0000702D0000}"/>
    <cellStyle name="Output 9 2 11 2 4" xfId="10826" xr:uid="{00000000-0005-0000-0000-0000712D0000}"/>
    <cellStyle name="Output 9 2 11 3" xfId="6132" xr:uid="{00000000-0005-0000-0000-0000722D0000}"/>
    <cellStyle name="Output 9 2 11 4" xfId="6841" xr:uid="{00000000-0005-0000-0000-0000732D0000}"/>
    <cellStyle name="Output 9 2 11 5" xfId="11908" xr:uid="{00000000-0005-0000-0000-0000742D0000}"/>
    <cellStyle name="Output 9 2 12" xfId="2753" xr:uid="{00000000-0005-0000-0000-0000752D0000}"/>
    <cellStyle name="Output 9 2 12 2" xfId="6336" xr:uid="{00000000-0005-0000-0000-0000762D0000}"/>
    <cellStyle name="Output 9 2 12 3" xfId="8348" xr:uid="{00000000-0005-0000-0000-0000772D0000}"/>
    <cellStyle name="Output 9 2 12 4" xfId="9685" xr:uid="{00000000-0005-0000-0000-0000782D0000}"/>
    <cellStyle name="Output 9 2 13" xfId="4847" xr:uid="{00000000-0005-0000-0000-0000792D0000}"/>
    <cellStyle name="Output 9 2 14" xfId="4118" xr:uid="{00000000-0005-0000-0000-00007A2D0000}"/>
    <cellStyle name="Output 9 2 15" xfId="8048" xr:uid="{00000000-0005-0000-0000-00007B2D0000}"/>
    <cellStyle name="Output 9 2 2" xfId="1789" xr:uid="{00000000-0005-0000-0000-00007C2D0000}"/>
    <cellStyle name="Output 9 2 2 2" xfId="3266" xr:uid="{00000000-0005-0000-0000-00007D2D0000}"/>
    <cellStyle name="Output 9 2 2 2 2" xfId="6839" xr:uid="{00000000-0005-0000-0000-00007E2D0000}"/>
    <cellStyle name="Output 9 2 2 2 3" xfId="8815" xr:uid="{00000000-0005-0000-0000-00007F2D0000}"/>
    <cellStyle name="Output 9 2 2 2 4" xfId="10116" xr:uid="{00000000-0005-0000-0000-0000802D0000}"/>
    <cellStyle name="Output 9 2 2 3" xfId="5381" xr:uid="{00000000-0005-0000-0000-0000812D0000}"/>
    <cellStyle name="Output 9 2 2 4" xfId="7780" xr:uid="{00000000-0005-0000-0000-0000822D0000}"/>
    <cellStyle name="Output 9 2 2 5" xfId="11193" xr:uid="{00000000-0005-0000-0000-0000832D0000}"/>
    <cellStyle name="Output 9 2 3" xfId="1955" xr:uid="{00000000-0005-0000-0000-0000842D0000}"/>
    <cellStyle name="Output 9 2 3 2" xfId="3419" xr:uid="{00000000-0005-0000-0000-0000852D0000}"/>
    <cellStyle name="Output 9 2 3 2 2" xfId="6989" xr:uid="{00000000-0005-0000-0000-0000862D0000}"/>
    <cellStyle name="Output 9 2 3 2 3" xfId="8955" xr:uid="{00000000-0005-0000-0000-0000872D0000}"/>
    <cellStyle name="Output 9 2 3 2 4" xfId="10246" xr:uid="{00000000-0005-0000-0000-0000882D0000}"/>
    <cellStyle name="Output 9 2 3 3" xfId="5543" xr:uid="{00000000-0005-0000-0000-0000892D0000}"/>
    <cellStyle name="Output 9 2 3 4" xfId="4058" xr:uid="{00000000-0005-0000-0000-00008A2D0000}"/>
    <cellStyle name="Output 9 2 3 5" xfId="11324" xr:uid="{00000000-0005-0000-0000-00008B2D0000}"/>
    <cellStyle name="Output 9 2 4" xfId="2025" xr:uid="{00000000-0005-0000-0000-00008C2D0000}"/>
    <cellStyle name="Output 9 2 4 2" xfId="3488" xr:uid="{00000000-0005-0000-0000-00008D2D0000}"/>
    <cellStyle name="Output 9 2 4 2 2" xfId="7058" xr:uid="{00000000-0005-0000-0000-00008E2D0000}"/>
    <cellStyle name="Output 9 2 4 2 3" xfId="9024" xr:uid="{00000000-0005-0000-0000-00008F2D0000}"/>
    <cellStyle name="Output 9 2 4 2 4" xfId="10315" xr:uid="{00000000-0005-0000-0000-0000902D0000}"/>
    <cellStyle name="Output 9 2 4 3" xfId="5613" xr:uid="{00000000-0005-0000-0000-0000912D0000}"/>
    <cellStyle name="Output 9 2 4 4" xfId="8022" xr:uid="{00000000-0005-0000-0000-0000922D0000}"/>
    <cellStyle name="Output 9 2 4 5" xfId="11393" xr:uid="{00000000-0005-0000-0000-0000932D0000}"/>
    <cellStyle name="Output 9 2 5" xfId="2093" xr:uid="{00000000-0005-0000-0000-0000942D0000}"/>
    <cellStyle name="Output 9 2 5 2" xfId="3553" xr:uid="{00000000-0005-0000-0000-0000952D0000}"/>
    <cellStyle name="Output 9 2 5 2 2" xfId="7123" xr:uid="{00000000-0005-0000-0000-0000962D0000}"/>
    <cellStyle name="Output 9 2 5 2 3" xfId="9089" xr:uid="{00000000-0005-0000-0000-0000972D0000}"/>
    <cellStyle name="Output 9 2 5 2 4" xfId="10380" xr:uid="{00000000-0005-0000-0000-0000982D0000}"/>
    <cellStyle name="Output 9 2 5 3" xfId="5681" xr:uid="{00000000-0005-0000-0000-0000992D0000}"/>
    <cellStyle name="Output 9 2 5 4" xfId="4080" xr:uid="{00000000-0005-0000-0000-00009A2D0000}"/>
    <cellStyle name="Output 9 2 5 5" xfId="11460" xr:uid="{00000000-0005-0000-0000-00009B2D0000}"/>
    <cellStyle name="Output 9 2 6" xfId="2161" xr:uid="{00000000-0005-0000-0000-00009C2D0000}"/>
    <cellStyle name="Output 9 2 6 2" xfId="3620" xr:uid="{00000000-0005-0000-0000-00009D2D0000}"/>
    <cellStyle name="Output 9 2 6 2 2" xfId="7190" xr:uid="{00000000-0005-0000-0000-00009E2D0000}"/>
    <cellStyle name="Output 9 2 6 2 3" xfId="9155" xr:uid="{00000000-0005-0000-0000-00009F2D0000}"/>
    <cellStyle name="Output 9 2 6 2 4" xfId="10447" xr:uid="{00000000-0005-0000-0000-0000A02D0000}"/>
    <cellStyle name="Output 9 2 6 3" xfId="5749" xr:uid="{00000000-0005-0000-0000-0000A12D0000}"/>
    <cellStyle name="Output 9 2 6 4" xfId="5136" xr:uid="{00000000-0005-0000-0000-0000A22D0000}"/>
    <cellStyle name="Output 9 2 6 5" xfId="11527" xr:uid="{00000000-0005-0000-0000-0000A32D0000}"/>
    <cellStyle name="Output 9 2 7" xfId="2233" xr:uid="{00000000-0005-0000-0000-0000A42D0000}"/>
    <cellStyle name="Output 9 2 7 2" xfId="3692" xr:uid="{00000000-0005-0000-0000-0000A52D0000}"/>
    <cellStyle name="Output 9 2 7 2 2" xfId="7262" xr:uid="{00000000-0005-0000-0000-0000A62D0000}"/>
    <cellStyle name="Output 9 2 7 2 3" xfId="9227" xr:uid="{00000000-0005-0000-0000-0000A72D0000}"/>
    <cellStyle name="Output 9 2 7 2 4" xfId="10519" xr:uid="{00000000-0005-0000-0000-0000A82D0000}"/>
    <cellStyle name="Output 9 2 7 3" xfId="5821" xr:uid="{00000000-0005-0000-0000-0000A92D0000}"/>
    <cellStyle name="Output 9 2 7 4" xfId="4528" xr:uid="{00000000-0005-0000-0000-0000AA2D0000}"/>
    <cellStyle name="Output 9 2 7 5" xfId="11599" xr:uid="{00000000-0005-0000-0000-0000AB2D0000}"/>
    <cellStyle name="Output 9 2 8" xfId="2330" xr:uid="{00000000-0005-0000-0000-0000AC2D0000}"/>
    <cellStyle name="Output 9 2 8 2" xfId="3787" xr:uid="{00000000-0005-0000-0000-0000AD2D0000}"/>
    <cellStyle name="Output 9 2 8 2 2" xfId="7357" xr:uid="{00000000-0005-0000-0000-0000AE2D0000}"/>
    <cellStyle name="Output 9 2 8 2 3" xfId="9320" xr:uid="{00000000-0005-0000-0000-0000AF2D0000}"/>
    <cellStyle name="Output 9 2 8 2 4" xfId="10614" xr:uid="{00000000-0005-0000-0000-0000B02D0000}"/>
    <cellStyle name="Output 9 2 8 3" xfId="5918" xr:uid="{00000000-0005-0000-0000-0000B12D0000}"/>
    <cellStyle name="Output 9 2 8 4" xfId="4576" xr:uid="{00000000-0005-0000-0000-0000B22D0000}"/>
    <cellStyle name="Output 9 2 8 5" xfId="11695" xr:uid="{00000000-0005-0000-0000-0000B32D0000}"/>
    <cellStyle name="Output 9 2 9" xfId="2422" xr:uid="{00000000-0005-0000-0000-0000B42D0000}"/>
    <cellStyle name="Output 9 2 9 2" xfId="3878" xr:uid="{00000000-0005-0000-0000-0000B52D0000}"/>
    <cellStyle name="Output 9 2 9 2 2" xfId="7448" xr:uid="{00000000-0005-0000-0000-0000B62D0000}"/>
    <cellStyle name="Output 9 2 9 2 3" xfId="9410" xr:uid="{00000000-0005-0000-0000-0000B72D0000}"/>
    <cellStyle name="Output 9 2 9 2 4" xfId="10705" xr:uid="{00000000-0005-0000-0000-0000B82D0000}"/>
    <cellStyle name="Output 9 2 9 3" xfId="6010" xr:uid="{00000000-0005-0000-0000-0000B92D0000}"/>
    <cellStyle name="Output 9 2 9 4" xfId="6725" xr:uid="{00000000-0005-0000-0000-0000BA2D0000}"/>
    <cellStyle name="Output 9 2 9 5" xfId="11786" xr:uid="{00000000-0005-0000-0000-0000BB2D0000}"/>
    <cellStyle name="Output 9 3" xfId="1609" xr:uid="{00000000-0005-0000-0000-0000BC2D0000}"/>
    <cellStyle name="Output 9 3 2" xfId="3092" xr:uid="{00000000-0005-0000-0000-0000BD2D0000}"/>
    <cellStyle name="Output 9 3 2 2" xfId="6669" xr:uid="{00000000-0005-0000-0000-0000BE2D0000}"/>
    <cellStyle name="Output 9 3 2 3" xfId="8657" xr:uid="{00000000-0005-0000-0000-0000BF2D0000}"/>
    <cellStyle name="Output 9 3 2 4" xfId="9973" xr:uid="{00000000-0005-0000-0000-0000C02D0000}"/>
    <cellStyle name="Output 9 3 3" xfId="5206" xr:uid="{00000000-0005-0000-0000-0000C12D0000}"/>
    <cellStyle name="Output 9 3 4" xfId="8283" xr:uid="{00000000-0005-0000-0000-0000C22D0000}"/>
    <cellStyle name="Output 9 3 5" xfId="11055" xr:uid="{00000000-0005-0000-0000-0000C32D0000}"/>
    <cellStyle name="Output 9 4" xfId="1351" xr:uid="{00000000-0005-0000-0000-0000C42D0000}"/>
    <cellStyle name="Output 9 4 2" xfId="2847" xr:uid="{00000000-0005-0000-0000-0000C52D0000}"/>
    <cellStyle name="Output 9 4 2 2" xfId="6426" xr:uid="{00000000-0005-0000-0000-0000C62D0000}"/>
    <cellStyle name="Output 9 4 2 3" xfId="8427" xr:uid="{00000000-0005-0000-0000-0000C72D0000}"/>
    <cellStyle name="Output 9 4 2 4" xfId="9752" xr:uid="{00000000-0005-0000-0000-0000C82D0000}"/>
    <cellStyle name="Output 9 4 3" xfId="4949" xr:uid="{00000000-0005-0000-0000-0000C92D0000}"/>
    <cellStyle name="Output 9 4 4" xfId="8084" xr:uid="{00000000-0005-0000-0000-0000CA2D0000}"/>
    <cellStyle name="Output 9 4 5" xfId="10834" xr:uid="{00000000-0005-0000-0000-0000CB2D0000}"/>
    <cellStyle name="Output 9 5" xfId="2168" xr:uid="{00000000-0005-0000-0000-0000CC2D0000}"/>
    <cellStyle name="Output 9 5 2" xfId="3627" xr:uid="{00000000-0005-0000-0000-0000CD2D0000}"/>
    <cellStyle name="Output 9 5 2 2" xfId="7197" xr:uid="{00000000-0005-0000-0000-0000CE2D0000}"/>
    <cellStyle name="Output 9 5 2 3" xfId="9162" xr:uid="{00000000-0005-0000-0000-0000CF2D0000}"/>
    <cellStyle name="Output 9 5 2 4" xfId="10454" xr:uid="{00000000-0005-0000-0000-0000D02D0000}"/>
    <cellStyle name="Output 9 5 3" xfId="5756" xr:uid="{00000000-0005-0000-0000-0000D12D0000}"/>
    <cellStyle name="Output 9 5 4" xfId="4507" xr:uid="{00000000-0005-0000-0000-0000D22D0000}"/>
    <cellStyle name="Output 9 5 5" xfId="11534" xr:uid="{00000000-0005-0000-0000-0000D32D0000}"/>
    <cellStyle name="Output 9 6" xfId="2634" xr:uid="{00000000-0005-0000-0000-0000D42D0000}"/>
    <cellStyle name="Output 9 6 2" xfId="6222" xr:uid="{00000000-0005-0000-0000-0000D52D0000}"/>
    <cellStyle name="Output 9 6 3" xfId="8246" xr:uid="{00000000-0005-0000-0000-0000D62D0000}"/>
    <cellStyle name="Output 9 6 4" xfId="9596" xr:uid="{00000000-0005-0000-0000-0000D72D0000}"/>
    <cellStyle name="Output 9 7" xfId="4620" xr:uid="{00000000-0005-0000-0000-0000D82D0000}"/>
    <cellStyle name="Output 9 8" xfId="4256" xr:uid="{00000000-0005-0000-0000-0000D92D0000}"/>
    <cellStyle name="Output 9 9" xfId="7701" xr:uid="{00000000-0005-0000-0000-0000DA2D0000}"/>
    <cellStyle name="Percent" xfId="18" builtinId="5" customBuiltin="1"/>
    <cellStyle name="Percent [2]" xfId="19" xr:uid="{00000000-0005-0000-0000-0000DC2D0000}"/>
    <cellStyle name="Percent [2] 2" xfId="1006" xr:uid="{00000000-0005-0000-0000-0000DD2D0000}"/>
    <cellStyle name="Percent [2] 3" xfId="1007" xr:uid="{00000000-0005-0000-0000-0000DE2D0000}"/>
    <cellStyle name="Percent [2] 4" xfId="1008" xr:uid="{00000000-0005-0000-0000-0000DF2D0000}"/>
    <cellStyle name="Percent [2] 5" xfId="1009" xr:uid="{00000000-0005-0000-0000-0000E02D0000}"/>
    <cellStyle name="Percent [2] 6" xfId="1010" xr:uid="{00000000-0005-0000-0000-0000E12D0000}"/>
    <cellStyle name="Percent [2] 7" xfId="1011" xr:uid="{00000000-0005-0000-0000-0000E22D0000}"/>
    <cellStyle name="Percent [2] 8" xfId="1012" xr:uid="{00000000-0005-0000-0000-0000E32D0000}"/>
    <cellStyle name="Percent [2] 9" xfId="1013" xr:uid="{00000000-0005-0000-0000-0000E42D0000}"/>
    <cellStyle name="Percent 10" xfId="1014" xr:uid="{00000000-0005-0000-0000-0000E52D0000}"/>
    <cellStyle name="Percent 11" xfId="1015" xr:uid="{00000000-0005-0000-0000-0000E62D0000}"/>
    <cellStyle name="Percent 12" xfId="1016" xr:uid="{00000000-0005-0000-0000-0000E72D0000}"/>
    <cellStyle name="Percent 13" xfId="1017" xr:uid="{00000000-0005-0000-0000-0000E82D0000}"/>
    <cellStyle name="Percent 14" xfId="1018" xr:uid="{00000000-0005-0000-0000-0000E92D0000}"/>
    <cellStyle name="Percent 15" xfId="1019" xr:uid="{00000000-0005-0000-0000-0000EA2D0000}"/>
    <cellStyle name="Percent 16" xfId="1020" xr:uid="{00000000-0005-0000-0000-0000EB2D0000}"/>
    <cellStyle name="Percent 17" xfId="1021" xr:uid="{00000000-0005-0000-0000-0000EC2D0000}"/>
    <cellStyle name="Percent 18" xfId="1022" xr:uid="{00000000-0005-0000-0000-0000ED2D0000}"/>
    <cellStyle name="Percent 19" xfId="1023" xr:uid="{00000000-0005-0000-0000-0000EE2D0000}"/>
    <cellStyle name="Percent 2" xfId="51" xr:uid="{00000000-0005-0000-0000-0000EF2D0000}"/>
    <cellStyle name="Percent 2 2" xfId="215" xr:uid="{00000000-0005-0000-0000-0000F02D0000}"/>
    <cellStyle name="Percent 2 3" xfId="1110" xr:uid="{00000000-0005-0000-0000-0000F12D0000}"/>
    <cellStyle name="Percent 2 3 2" xfId="1266" xr:uid="{00000000-0005-0000-0000-0000F22D0000}"/>
    <cellStyle name="Percent 2 3 2 2" xfId="1804" xr:uid="{00000000-0005-0000-0000-0000F32D0000}"/>
    <cellStyle name="Percent 2 3 2 2 2" xfId="3281" xr:uid="{00000000-0005-0000-0000-0000F42D0000}"/>
    <cellStyle name="Percent 2 3 2 3" xfId="2767" xr:uid="{00000000-0005-0000-0000-0000F52D0000}"/>
    <cellStyle name="Percent 2 3 3" xfId="1667" xr:uid="{00000000-0005-0000-0000-0000F62D0000}"/>
    <cellStyle name="Percent 2 3 3 2" xfId="3145" xr:uid="{00000000-0005-0000-0000-0000F72D0000}"/>
    <cellStyle name="Percent 2 3 4" xfId="2648" xr:uid="{00000000-0005-0000-0000-0000F82D0000}"/>
    <cellStyle name="Percent 2 4" xfId="190" xr:uid="{00000000-0005-0000-0000-0000F92D0000}"/>
    <cellStyle name="Percent 20" xfId="1024" xr:uid="{00000000-0005-0000-0000-0000FA2D0000}"/>
    <cellStyle name="Percent 21" xfId="1025" xr:uid="{00000000-0005-0000-0000-0000FB2D0000}"/>
    <cellStyle name="Percent 22" xfId="1026" xr:uid="{00000000-0005-0000-0000-0000FC2D0000}"/>
    <cellStyle name="Percent 23" xfId="1027" xr:uid="{00000000-0005-0000-0000-0000FD2D0000}"/>
    <cellStyle name="Percent 24" xfId="1028" xr:uid="{00000000-0005-0000-0000-0000FE2D0000}"/>
    <cellStyle name="Percent 25" xfId="1029" xr:uid="{00000000-0005-0000-0000-0000FF2D0000}"/>
    <cellStyle name="Percent 26" xfId="1030" xr:uid="{00000000-0005-0000-0000-0000002E0000}"/>
    <cellStyle name="Percent 27" xfId="1031" xr:uid="{00000000-0005-0000-0000-0000012E0000}"/>
    <cellStyle name="Percent 28" xfId="1032" xr:uid="{00000000-0005-0000-0000-0000022E0000}"/>
    <cellStyle name="Percent 28 2" xfId="1249" xr:uid="{00000000-0005-0000-0000-0000032E0000}"/>
    <cellStyle name="Percent 28 2 2" xfId="1790" xr:uid="{00000000-0005-0000-0000-0000042E0000}"/>
    <cellStyle name="Percent 28 2 2 2" xfId="3267" xr:uid="{00000000-0005-0000-0000-0000052E0000}"/>
    <cellStyle name="Percent 28 2 3" xfId="2754" xr:uid="{00000000-0005-0000-0000-0000062E0000}"/>
    <cellStyle name="Percent 28 3" xfId="1626" xr:uid="{00000000-0005-0000-0000-0000072E0000}"/>
    <cellStyle name="Percent 28 3 2" xfId="3109" xr:uid="{00000000-0005-0000-0000-0000082E0000}"/>
    <cellStyle name="Percent 28 4" xfId="2635" xr:uid="{00000000-0005-0000-0000-0000092E0000}"/>
    <cellStyle name="Percent 29" xfId="1033" xr:uid="{00000000-0005-0000-0000-00000A2E0000}"/>
    <cellStyle name="Percent 3" xfId="55" xr:uid="{00000000-0005-0000-0000-00000B2E0000}"/>
    <cellStyle name="Percent 3 2" xfId="1034" xr:uid="{00000000-0005-0000-0000-00000C2E0000}"/>
    <cellStyle name="Percent 3 3" xfId="1035" xr:uid="{00000000-0005-0000-0000-00000D2E0000}"/>
    <cellStyle name="Percent 3 3 2" xfId="1250" xr:uid="{00000000-0005-0000-0000-00000E2E0000}"/>
    <cellStyle name="Percent 3 4" xfId="204" xr:uid="{00000000-0005-0000-0000-00000F2E0000}"/>
    <cellStyle name="Percent 30" xfId="1036" xr:uid="{00000000-0005-0000-0000-0000102E0000}"/>
    <cellStyle name="Percent 30 2" xfId="1037" xr:uid="{00000000-0005-0000-0000-0000112E0000}"/>
    <cellStyle name="Percent 30 2 2" xfId="1252" xr:uid="{00000000-0005-0000-0000-0000122E0000}"/>
    <cellStyle name="Percent 30 3" xfId="1251" xr:uid="{00000000-0005-0000-0000-0000132E0000}"/>
    <cellStyle name="Percent 31" xfId="1038" xr:uid="{00000000-0005-0000-0000-0000142E0000}"/>
    <cellStyle name="Percent 31 2" xfId="1253" xr:uid="{00000000-0005-0000-0000-0000152E0000}"/>
    <cellStyle name="Percent 31 2 2" xfId="1791" xr:uid="{00000000-0005-0000-0000-0000162E0000}"/>
    <cellStyle name="Percent 31 2 2 2" xfId="3268" xr:uid="{00000000-0005-0000-0000-0000172E0000}"/>
    <cellStyle name="Percent 31 2 3" xfId="2755" xr:uid="{00000000-0005-0000-0000-0000182E0000}"/>
    <cellStyle name="Percent 31 3" xfId="1628" xr:uid="{00000000-0005-0000-0000-0000192E0000}"/>
    <cellStyle name="Percent 31 3 2" xfId="3111" xr:uid="{00000000-0005-0000-0000-00001A2E0000}"/>
    <cellStyle name="Percent 31 4" xfId="2636" xr:uid="{00000000-0005-0000-0000-00001B2E0000}"/>
    <cellStyle name="Percent 32" xfId="1039" xr:uid="{00000000-0005-0000-0000-00001C2E0000}"/>
    <cellStyle name="Percent 32 2" xfId="1254" xr:uid="{00000000-0005-0000-0000-00001D2E0000}"/>
    <cellStyle name="Percent 32 2 2" xfId="1792" xr:uid="{00000000-0005-0000-0000-00001E2E0000}"/>
    <cellStyle name="Percent 32 2 2 2" xfId="3269" xr:uid="{00000000-0005-0000-0000-00001F2E0000}"/>
    <cellStyle name="Percent 32 2 3" xfId="2756" xr:uid="{00000000-0005-0000-0000-0000202E0000}"/>
    <cellStyle name="Percent 32 3" xfId="1629" xr:uid="{00000000-0005-0000-0000-0000212E0000}"/>
    <cellStyle name="Percent 32 3 2" xfId="3112" xr:uid="{00000000-0005-0000-0000-0000222E0000}"/>
    <cellStyle name="Percent 32 4" xfId="2637" xr:uid="{00000000-0005-0000-0000-0000232E0000}"/>
    <cellStyle name="Percent 33" xfId="1040" xr:uid="{00000000-0005-0000-0000-0000242E0000}"/>
    <cellStyle name="Percent 33 2" xfId="1255" xr:uid="{00000000-0005-0000-0000-0000252E0000}"/>
    <cellStyle name="Percent 33 2 2" xfId="1793" xr:uid="{00000000-0005-0000-0000-0000262E0000}"/>
    <cellStyle name="Percent 33 2 2 2" xfId="3270" xr:uid="{00000000-0005-0000-0000-0000272E0000}"/>
    <cellStyle name="Percent 33 2 3" xfId="2757" xr:uid="{00000000-0005-0000-0000-0000282E0000}"/>
    <cellStyle name="Percent 33 3" xfId="1630" xr:uid="{00000000-0005-0000-0000-0000292E0000}"/>
    <cellStyle name="Percent 33 3 2" xfId="3113" xr:uid="{00000000-0005-0000-0000-00002A2E0000}"/>
    <cellStyle name="Percent 33 4" xfId="2638" xr:uid="{00000000-0005-0000-0000-00002B2E0000}"/>
    <cellStyle name="Percent 34" xfId="1105" xr:uid="{00000000-0005-0000-0000-00002C2E0000}"/>
    <cellStyle name="Percent 34 2" xfId="1261" xr:uid="{00000000-0005-0000-0000-00002D2E0000}"/>
    <cellStyle name="Percent 34 2 2" xfId="1799" xr:uid="{00000000-0005-0000-0000-00002E2E0000}"/>
    <cellStyle name="Percent 34 2 2 2" xfId="3276" xr:uid="{00000000-0005-0000-0000-00002F2E0000}"/>
    <cellStyle name="Percent 34 2 3" xfId="2762" xr:uid="{00000000-0005-0000-0000-0000302E0000}"/>
    <cellStyle name="Percent 34 3" xfId="1662" xr:uid="{00000000-0005-0000-0000-0000312E0000}"/>
    <cellStyle name="Percent 34 3 2" xfId="3140" xr:uid="{00000000-0005-0000-0000-0000322E0000}"/>
    <cellStyle name="Percent 34 4" xfId="2643" xr:uid="{00000000-0005-0000-0000-0000332E0000}"/>
    <cellStyle name="Percent 35" xfId="208" xr:uid="{00000000-0005-0000-0000-0000342E0000}"/>
    <cellStyle name="Percent 36" xfId="4047" xr:uid="{00000000-0005-0000-0000-0000352E0000}"/>
    <cellStyle name="Percent 37" xfId="6716" xr:uid="{00000000-0005-0000-0000-0000362E0000}"/>
    <cellStyle name="Percent 38" xfId="8168" xr:uid="{00000000-0005-0000-0000-0000372E0000}"/>
    <cellStyle name="Percent 39" xfId="10012" xr:uid="{00000000-0005-0000-0000-0000382E0000}"/>
    <cellStyle name="Percent 4" xfId="73" xr:uid="{00000000-0005-0000-0000-0000392E0000}"/>
    <cellStyle name="Percent 4 2" xfId="1041" xr:uid="{00000000-0005-0000-0000-00003A2E0000}"/>
    <cellStyle name="Percent 4 3" xfId="205" xr:uid="{00000000-0005-0000-0000-00003B2E0000}"/>
    <cellStyle name="Percent 5" xfId="76" xr:uid="{00000000-0005-0000-0000-00003C2E0000}"/>
    <cellStyle name="Percent 5 2" xfId="1133" xr:uid="{00000000-0005-0000-0000-00003D2E0000}"/>
    <cellStyle name="Percent 5 3" xfId="206" xr:uid="{00000000-0005-0000-0000-00003E2E0000}"/>
    <cellStyle name="Percent 6" xfId="212" xr:uid="{00000000-0005-0000-0000-00003F2E0000}"/>
    <cellStyle name="Percent 6 2" xfId="1136" xr:uid="{00000000-0005-0000-0000-0000402E0000}"/>
    <cellStyle name="Percent 6 2 2" xfId="1689" xr:uid="{00000000-0005-0000-0000-0000412E0000}"/>
    <cellStyle name="Percent 6 2 2 2" xfId="3167" xr:uid="{00000000-0005-0000-0000-0000422E0000}"/>
    <cellStyle name="Percent 6 2 3" xfId="2663" xr:uid="{00000000-0005-0000-0000-0000432E0000}"/>
    <cellStyle name="Percent 6 3" xfId="1302" xr:uid="{00000000-0005-0000-0000-0000442E0000}"/>
    <cellStyle name="Percent 6 3 2" xfId="2802" xr:uid="{00000000-0005-0000-0000-0000452E0000}"/>
    <cellStyle name="Percent 6 4" xfId="2554" xr:uid="{00000000-0005-0000-0000-0000462E0000}"/>
    <cellStyle name="Percent 7" xfId="1042" xr:uid="{00000000-0005-0000-0000-0000472E0000}"/>
    <cellStyle name="Percent 8" xfId="1043" xr:uid="{00000000-0005-0000-0000-0000482E0000}"/>
    <cellStyle name="Percent 9" xfId="1044" xr:uid="{00000000-0005-0000-0000-0000492E0000}"/>
    <cellStyle name="Title" xfId="96" builtinId="15" customBuiltin="1"/>
    <cellStyle name="Title 10" xfId="1045" xr:uid="{00000000-0005-0000-0000-00004B2E0000}"/>
    <cellStyle name="Title 11" xfId="1046" xr:uid="{00000000-0005-0000-0000-00004C2E0000}"/>
    <cellStyle name="Title 12" xfId="1047" xr:uid="{00000000-0005-0000-0000-00004D2E0000}"/>
    <cellStyle name="Title 13" xfId="1048" xr:uid="{00000000-0005-0000-0000-00004E2E0000}"/>
    <cellStyle name="Title 14" xfId="1049" xr:uid="{00000000-0005-0000-0000-00004F2E0000}"/>
    <cellStyle name="Title 15" xfId="1050" xr:uid="{00000000-0005-0000-0000-0000502E0000}"/>
    <cellStyle name="Title 16" xfId="1051" xr:uid="{00000000-0005-0000-0000-0000512E0000}"/>
    <cellStyle name="Title 17" xfId="1052" xr:uid="{00000000-0005-0000-0000-0000522E0000}"/>
    <cellStyle name="Title 18" xfId="1053" xr:uid="{00000000-0005-0000-0000-0000532E0000}"/>
    <cellStyle name="Title 19" xfId="1054" xr:uid="{00000000-0005-0000-0000-0000542E0000}"/>
    <cellStyle name="Title 2" xfId="191" xr:uid="{00000000-0005-0000-0000-0000552E0000}"/>
    <cellStyle name="Title 3" xfId="1055" xr:uid="{00000000-0005-0000-0000-0000562E0000}"/>
    <cellStyle name="Title 4" xfId="1056" xr:uid="{00000000-0005-0000-0000-0000572E0000}"/>
    <cellStyle name="Title 5" xfId="1057" xr:uid="{00000000-0005-0000-0000-0000582E0000}"/>
    <cellStyle name="Title 6" xfId="1058" xr:uid="{00000000-0005-0000-0000-0000592E0000}"/>
    <cellStyle name="Title 7" xfId="1059" xr:uid="{00000000-0005-0000-0000-00005A2E0000}"/>
    <cellStyle name="Title 8" xfId="1060" xr:uid="{00000000-0005-0000-0000-00005B2E0000}"/>
    <cellStyle name="Title 9" xfId="1061" xr:uid="{00000000-0005-0000-0000-00005C2E0000}"/>
    <cellStyle name="Total" xfId="20" builtinId="25" customBuiltin="1"/>
    <cellStyle name="Total 10" xfId="1062" xr:uid="{00000000-0005-0000-0000-00005E2E0000}"/>
    <cellStyle name="Total 11" xfId="1063" xr:uid="{00000000-0005-0000-0000-00005F2E0000}"/>
    <cellStyle name="Total 12" xfId="1064" xr:uid="{00000000-0005-0000-0000-0000602E0000}"/>
    <cellStyle name="Total 13" xfId="1065" xr:uid="{00000000-0005-0000-0000-0000612E0000}"/>
    <cellStyle name="Total 14" xfId="1066" xr:uid="{00000000-0005-0000-0000-0000622E0000}"/>
    <cellStyle name="Total 15" xfId="1067" xr:uid="{00000000-0005-0000-0000-0000632E0000}"/>
    <cellStyle name="Total 16" xfId="1068" xr:uid="{00000000-0005-0000-0000-0000642E0000}"/>
    <cellStyle name="Total 17" xfId="1069" xr:uid="{00000000-0005-0000-0000-0000652E0000}"/>
    <cellStyle name="Total 18" xfId="1070" xr:uid="{00000000-0005-0000-0000-0000662E0000}"/>
    <cellStyle name="Total 19" xfId="1071" xr:uid="{00000000-0005-0000-0000-0000672E0000}"/>
    <cellStyle name="Total 2" xfId="53" xr:uid="{00000000-0005-0000-0000-0000682E0000}"/>
    <cellStyle name="Total 2 10" xfId="4239" xr:uid="{00000000-0005-0000-0000-0000692E0000}"/>
    <cellStyle name="Total 2 2" xfId="1128" xr:uid="{00000000-0005-0000-0000-00006A2E0000}"/>
    <cellStyle name="Total 2 2 10" xfId="2240" xr:uid="{00000000-0005-0000-0000-00006B2E0000}"/>
    <cellStyle name="Total 2 2 10 2" xfId="3697" xr:uid="{00000000-0005-0000-0000-00006C2E0000}"/>
    <cellStyle name="Total 2 2 10 2 2" xfId="7267" xr:uid="{00000000-0005-0000-0000-00006D2E0000}"/>
    <cellStyle name="Total 2 2 10 2 3" xfId="9232" xr:uid="{00000000-0005-0000-0000-00006E2E0000}"/>
    <cellStyle name="Total 2 2 10 2 4" xfId="10524" xr:uid="{00000000-0005-0000-0000-00006F2E0000}"/>
    <cellStyle name="Total 2 2 10 3" xfId="5828" xr:uid="{00000000-0005-0000-0000-0000702E0000}"/>
    <cellStyle name="Total 2 2 10 4" xfId="4534" xr:uid="{00000000-0005-0000-0000-0000712E0000}"/>
    <cellStyle name="Total 2 2 10 5" xfId="11606" xr:uid="{00000000-0005-0000-0000-0000722E0000}"/>
    <cellStyle name="Total 2 2 11" xfId="2237" xr:uid="{00000000-0005-0000-0000-0000732E0000}"/>
    <cellStyle name="Total 2 2 11 2" xfId="3694" xr:uid="{00000000-0005-0000-0000-0000742E0000}"/>
    <cellStyle name="Total 2 2 11 2 2" xfId="7264" xr:uid="{00000000-0005-0000-0000-0000752E0000}"/>
    <cellStyle name="Total 2 2 11 2 3" xfId="9229" xr:uid="{00000000-0005-0000-0000-0000762E0000}"/>
    <cellStyle name="Total 2 2 11 2 4" xfId="10521" xr:uid="{00000000-0005-0000-0000-0000772E0000}"/>
    <cellStyle name="Total 2 2 11 3" xfId="5825" xr:uid="{00000000-0005-0000-0000-0000782E0000}"/>
    <cellStyle name="Total 2 2 11 4" xfId="4531" xr:uid="{00000000-0005-0000-0000-0000792E0000}"/>
    <cellStyle name="Total 2 2 11 5" xfId="11603" xr:uid="{00000000-0005-0000-0000-00007A2E0000}"/>
    <cellStyle name="Total 2 2 12" xfId="2659" xr:uid="{00000000-0005-0000-0000-00007B2E0000}"/>
    <cellStyle name="Total 2 2 12 2" xfId="6244" xr:uid="{00000000-0005-0000-0000-00007C2E0000}"/>
    <cellStyle name="Total 2 2 12 3" xfId="8260" xr:uid="{00000000-0005-0000-0000-00007D2E0000}"/>
    <cellStyle name="Total 2 2 12 4" xfId="9601" xr:uid="{00000000-0005-0000-0000-00007E2E0000}"/>
    <cellStyle name="Total 2 2 13" xfId="4729" xr:uid="{00000000-0005-0000-0000-00007F2E0000}"/>
    <cellStyle name="Total 2 2 14" xfId="4218" xr:uid="{00000000-0005-0000-0000-0000802E0000}"/>
    <cellStyle name="Total 2 2 15" xfId="7590" xr:uid="{00000000-0005-0000-0000-0000812E0000}"/>
    <cellStyle name="Total 2 2 2" xfId="1683" xr:uid="{00000000-0005-0000-0000-0000822E0000}"/>
    <cellStyle name="Total 2 2 2 2" xfId="3161" xr:uid="{00000000-0005-0000-0000-0000832E0000}"/>
    <cellStyle name="Total 2 2 2 2 2" xfId="6735" xr:uid="{00000000-0005-0000-0000-0000842E0000}"/>
    <cellStyle name="Total 2 2 2 2 3" xfId="8716" xr:uid="{00000000-0005-0000-0000-0000852E0000}"/>
    <cellStyle name="Total 2 2 2 2 4" xfId="10021" xr:uid="{00000000-0005-0000-0000-0000862E0000}"/>
    <cellStyle name="Total 2 2 2 3" xfId="5275" xr:uid="{00000000-0005-0000-0000-0000872E0000}"/>
    <cellStyle name="Total 2 2 2 4" xfId="4370" xr:uid="{00000000-0005-0000-0000-0000882E0000}"/>
    <cellStyle name="Total 2 2 2 5" xfId="11098" xr:uid="{00000000-0005-0000-0000-0000892E0000}"/>
    <cellStyle name="Total 2 2 3" xfId="1853" xr:uid="{00000000-0005-0000-0000-00008A2E0000}"/>
    <cellStyle name="Total 2 2 3 2" xfId="3325" xr:uid="{00000000-0005-0000-0000-00008B2E0000}"/>
    <cellStyle name="Total 2 2 3 2 2" xfId="6895" xr:uid="{00000000-0005-0000-0000-00008C2E0000}"/>
    <cellStyle name="Total 2 2 3 2 3" xfId="8863" xr:uid="{00000000-0005-0000-0000-00008D2E0000}"/>
    <cellStyle name="Total 2 2 3 2 4" xfId="10154" xr:uid="{00000000-0005-0000-0000-00008E2E0000}"/>
    <cellStyle name="Total 2 2 3 3" xfId="5442" xr:uid="{00000000-0005-0000-0000-00008F2E0000}"/>
    <cellStyle name="Total 2 2 3 4" xfId="7837" xr:uid="{00000000-0005-0000-0000-0000902E0000}"/>
    <cellStyle name="Total 2 2 3 5" xfId="11232" xr:uid="{00000000-0005-0000-0000-0000912E0000}"/>
    <cellStyle name="Total 2 2 4" xfId="1567" xr:uid="{00000000-0005-0000-0000-0000922E0000}"/>
    <cellStyle name="Total 2 2 4 2" xfId="3050" xr:uid="{00000000-0005-0000-0000-0000932E0000}"/>
    <cellStyle name="Total 2 2 4 2 2" xfId="6627" xr:uid="{00000000-0005-0000-0000-0000942E0000}"/>
    <cellStyle name="Total 2 2 4 2 3" xfId="8617" xr:uid="{00000000-0005-0000-0000-0000952E0000}"/>
    <cellStyle name="Total 2 2 4 2 4" xfId="9934" xr:uid="{00000000-0005-0000-0000-0000962E0000}"/>
    <cellStyle name="Total 2 2 4 3" xfId="5164" xr:uid="{00000000-0005-0000-0000-0000972E0000}"/>
    <cellStyle name="Total 2 2 4 4" xfId="7650" xr:uid="{00000000-0005-0000-0000-0000982E0000}"/>
    <cellStyle name="Total 2 2 4 5" xfId="11016" xr:uid="{00000000-0005-0000-0000-0000992E0000}"/>
    <cellStyle name="Total 2 2 5" xfId="1323" xr:uid="{00000000-0005-0000-0000-00009A2E0000}"/>
    <cellStyle name="Total 2 2 5 2" xfId="2822" xr:uid="{00000000-0005-0000-0000-00009B2E0000}"/>
    <cellStyle name="Total 2 2 5 2 2" xfId="6401" xr:uid="{00000000-0005-0000-0000-00009C2E0000}"/>
    <cellStyle name="Total 2 2 5 2 3" xfId="8404" xr:uid="{00000000-0005-0000-0000-00009D2E0000}"/>
    <cellStyle name="Total 2 2 5 2 4" xfId="9727" xr:uid="{00000000-0005-0000-0000-00009E2E0000}"/>
    <cellStyle name="Total 2 2 5 3" xfId="4921" xr:uid="{00000000-0005-0000-0000-00009F2E0000}"/>
    <cellStyle name="Total 2 2 5 4" xfId="7596" xr:uid="{00000000-0005-0000-0000-0000A02E0000}"/>
    <cellStyle name="Total 2 2 5 5" xfId="8248" xr:uid="{00000000-0005-0000-0000-0000A12E0000}"/>
    <cellStyle name="Total 2 2 6" xfId="1476" xr:uid="{00000000-0005-0000-0000-0000A22E0000}"/>
    <cellStyle name="Total 2 2 6 2" xfId="2961" xr:uid="{00000000-0005-0000-0000-0000A32E0000}"/>
    <cellStyle name="Total 2 2 6 2 2" xfId="6538" xr:uid="{00000000-0005-0000-0000-0000A42E0000}"/>
    <cellStyle name="Total 2 2 6 2 3" xfId="8539" xr:uid="{00000000-0005-0000-0000-0000A52E0000}"/>
    <cellStyle name="Total 2 2 6 2 4" xfId="9862" xr:uid="{00000000-0005-0000-0000-0000A62E0000}"/>
    <cellStyle name="Total 2 2 6 3" xfId="5073" xr:uid="{00000000-0005-0000-0000-0000A72E0000}"/>
    <cellStyle name="Total 2 2 6 4" xfId="8833" xr:uid="{00000000-0005-0000-0000-0000A82E0000}"/>
    <cellStyle name="Total 2 2 6 5" xfId="10943" xr:uid="{00000000-0005-0000-0000-0000A92E0000}"/>
    <cellStyle name="Total 2 2 7" xfId="1341" xr:uid="{00000000-0005-0000-0000-0000AA2E0000}"/>
    <cellStyle name="Total 2 2 7 2" xfId="2839" xr:uid="{00000000-0005-0000-0000-0000AB2E0000}"/>
    <cellStyle name="Total 2 2 7 2 2" xfId="6418" xr:uid="{00000000-0005-0000-0000-0000AC2E0000}"/>
    <cellStyle name="Total 2 2 7 2 3" xfId="8419" xr:uid="{00000000-0005-0000-0000-0000AD2E0000}"/>
    <cellStyle name="Total 2 2 7 2 4" xfId="9744" xr:uid="{00000000-0005-0000-0000-0000AE2E0000}"/>
    <cellStyle name="Total 2 2 7 3" xfId="4939" xr:uid="{00000000-0005-0000-0000-0000AF2E0000}"/>
    <cellStyle name="Total 2 2 7 4" xfId="7757" xr:uid="{00000000-0005-0000-0000-0000B02E0000}"/>
    <cellStyle name="Total 2 2 7 5" xfId="4657" xr:uid="{00000000-0005-0000-0000-0000B12E0000}"/>
    <cellStyle name="Total 2 2 8" xfId="2246" xr:uid="{00000000-0005-0000-0000-0000B22E0000}"/>
    <cellStyle name="Total 2 2 8 2" xfId="3703" xr:uid="{00000000-0005-0000-0000-0000B32E0000}"/>
    <cellStyle name="Total 2 2 8 2 2" xfId="7273" xr:uid="{00000000-0005-0000-0000-0000B42E0000}"/>
    <cellStyle name="Total 2 2 8 2 3" xfId="9238" xr:uid="{00000000-0005-0000-0000-0000B52E0000}"/>
    <cellStyle name="Total 2 2 8 2 4" xfId="10530" xr:uid="{00000000-0005-0000-0000-0000B62E0000}"/>
    <cellStyle name="Total 2 2 8 3" xfId="5834" xr:uid="{00000000-0005-0000-0000-0000B72E0000}"/>
    <cellStyle name="Total 2 2 8 4" xfId="4681" xr:uid="{00000000-0005-0000-0000-0000B82E0000}"/>
    <cellStyle name="Total 2 2 8 5" xfId="11612" xr:uid="{00000000-0005-0000-0000-0000B92E0000}"/>
    <cellStyle name="Total 2 2 9" xfId="2338" xr:uid="{00000000-0005-0000-0000-0000BA2E0000}"/>
    <cellStyle name="Total 2 2 9 2" xfId="3794" xr:uid="{00000000-0005-0000-0000-0000BB2E0000}"/>
    <cellStyle name="Total 2 2 9 2 2" xfId="7364" xr:uid="{00000000-0005-0000-0000-0000BC2E0000}"/>
    <cellStyle name="Total 2 2 9 2 3" xfId="9327" xr:uid="{00000000-0005-0000-0000-0000BD2E0000}"/>
    <cellStyle name="Total 2 2 9 2 4" xfId="10621" xr:uid="{00000000-0005-0000-0000-0000BE2E0000}"/>
    <cellStyle name="Total 2 2 9 3" xfId="5926" xr:uid="{00000000-0005-0000-0000-0000BF2E0000}"/>
    <cellStyle name="Total 2 2 9 4" xfId="4579" xr:uid="{00000000-0005-0000-0000-0000C02E0000}"/>
    <cellStyle name="Total 2 2 9 5" xfId="11703" xr:uid="{00000000-0005-0000-0000-0000C12E0000}"/>
    <cellStyle name="Total 2 3" xfId="1291" xr:uid="{00000000-0005-0000-0000-0000C22E0000}"/>
    <cellStyle name="Total 2 3 2" xfId="2791" xr:uid="{00000000-0005-0000-0000-0000C32E0000}"/>
    <cellStyle name="Total 2 3 2 2" xfId="6370" xr:uid="{00000000-0005-0000-0000-0000C42E0000}"/>
    <cellStyle name="Total 2 3 2 3" xfId="8377" xr:uid="{00000000-0005-0000-0000-0000C52E0000}"/>
    <cellStyle name="Total 2 3 2 4" xfId="9702" xr:uid="{00000000-0005-0000-0000-0000C62E0000}"/>
    <cellStyle name="Total 2 3 3" xfId="4889" xr:uid="{00000000-0005-0000-0000-0000C72E0000}"/>
    <cellStyle name="Total 2 3 4" xfId="7939" xr:uid="{00000000-0005-0000-0000-0000C82E0000}"/>
    <cellStyle name="Total 2 3 5" xfId="7830" xr:uid="{00000000-0005-0000-0000-0000C92E0000}"/>
    <cellStyle name="Total 2 4" xfId="1960" xr:uid="{00000000-0005-0000-0000-0000CA2E0000}"/>
    <cellStyle name="Total 2 4 2" xfId="3424" xr:uid="{00000000-0005-0000-0000-0000CB2E0000}"/>
    <cellStyle name="Total 2 4 2 2" xfId="6994" xr:uid="{00000000-0005-0000-0000-0000CC2E0000}"/>
    <cellStyle name="Total 2 4 2 3" xfId="8960" xr:uid="{00000000-0005-0000-0000-0000CD2E0000}"/>
    <cellStyle name="Total 2 4 2 4" xfId="10251" xr:uid="{00000000-0005-0000-0000-0000CE2E0000}"/>
    <cellStyle name="Total 2 4 3" xfId="5548" xr:uid="{00000000-0005-0000-0000-0000CF2E0000}"/>
    <cellStyle name="Total 2 4 4" xfId="8026" xr:uid="{00000000-0005-0000-0000-0000D02E0000}"/>
    <cellStyle name="Total 2 4 5" xfId="11329" xr:uid="{00000000-0005-0000-0000-0000D12E0000}"/>
    <cellStyle name="Total 2 5" xfId="2057" xr:uid="{00000000-0005-0000-0000-0000D22E0000}"/>
    <cellStyle name="Total 2 5 2" xfId="3517" xr:uid="{00000000-0005-0000-0000-0000D32E0000}"/>
    <cellStyle name="Total 2 5 2 2" xfId="7087" xr:uid="{00000000-0005-0000-0000-0000D42E0000}"/>
    <cellStyle name="Total 2 5 2 3" xfId="9053" xr:uid="{00000000-0005-0000-0000-0000D52E0000}"/>
    <cellStyle name="Total 2 5 2 4" xfId="10344" xr:uid="{00000000-0005-0000-0000-0000D62E0000}"/>
    <cellStyle name="Total 2 5 3" xfId="5645" xr:uid="{00000000-0005-0000-0000-0000D72E0000}"/>
    <cellStyle name="Total 2 5 4" xfId="7785" xr:uid="{00000000-0005-0000-0000-0000D82E0000}"/>
    <cellStyle name="Total 2 5 5" xfId="11424" xr:uid="{00000000-0005-0000-0000-0000D92E0000}"/>
    <cellStyle name="Total 2 6" xfId="2550" xr:uid="{00000000-0005-0000-0000-0000DA2E0000}"/>
    <cellStyle name="Total 2 6 2" xfId="6138" xr:uid="{00000000-0005-0000-0000-0000DB2E0000}"/>
    <cellStyle name="Total 2 6 3" xfId="8167" xr:uid="{00000000-0005-0000-0000-0000DC2E0000}"/>
    <cellStyle name="Total 2 6 4" xfId="4853" xr:uid="{00000000-0005-0000-0000-0000DD2E0000}"/>
    <cellStyle name="Total 2 7" xfId="192" xr:uid="{00000000-0005-0000-0000-0000DE2E0000}"/>
    <cellStyle name="Total 2 8" xfId="4032" xr:uid="{00000000-0005-0000-0000-0000DF2E0000}"/>
    <cellStyle name="Total 2 9" xfId="4660" xr:uid="{00000000-0005-0000-0000-0000E02E0000}"/>
    <cellStyle name="Total 3" xfId="37" xr:uid="{00000000-0005-0000-0000-0000E12E0000}"/>
    <cellStyle name="Total 4" xfId="138" xr:uid="{00000000-0005-0000-0000-0000E22E0000}"/>
    <cellStyle name="Total 4 2" xfId="1073" xr:uid="{00000000-0005-0000-0000-0000E32E0000}"/>
    <cellStyle name="Total 5" xfId="1074" xr:uid="{00000000-0005-0000-0000-0000E42E0000}"/>
    <cellStyle name="Total 6" xfId="1075" xr:uid="{00000000-0005-0000-0000-0000E52E0000}"/>
    <cellStyle name="Total 7" xfId="1076" xr:uid="{00000000-0005-0000-0000-0000E62E0000}"/>
    <cellStyle name="Total 8" xfId="1077" xr:uid="{00000000-0005-0000-0000-0000E72E0000}"/>
    <cellStyle name="Total 9" xfId="1078" xr:uid="{00000000-0005-0000-0000-0000E82E0000}"/>
    <cellStyle name="Warning Text" xfId="107" builtinId="11" customBuiltin="1"/>
    <cellStyle name="Warning Text 10" xfId="1079" xr:uid="{00000000-0005-0000-0000-0000EA2E0000}"/>
    <cellStyle name="Warning Text 11" xfId="1080" xr:uid="{00000000-0005-0000-0000-0000EB2E0000}"/>
    <cellStyle name="Warning Text 12" xfId="1081" xr:uid="{00000000-0005-0000-0000-0000EC2E0000}"/>
    <cellStyle name="Warning Text 13" xfId="1082" xr:uid="{00000000-0005-0000-0000-0000ED2E0000}"/>
    <cellStyle name="Warning Text 14" xfId="1083" xr:uid="{00000000-0005-0000-0000-0000EE2E0000}"/>
    <cellStyle name="Warning Text 15" xfId="1084" xr:uid="{00000000-0005-0000-0000-0000EF2E0000}"/>
    <cellStyle name="Warning Text 16" xfId="1085" xr:uid="{00000000-0005-0000-0000-0000F02E0000}"/>
    <cellStyle name="Warning Text 17" xfId="1086" xr:uid="{00000000-0005-0000-0000-0000F12E0000}"/>
    <cellStyle name="Warning Text 18" xfId="1087" xr:uid="{00000000-0005-0000-0000-0000F22E0000}"/>
    <cellStyle name="Warning Text 19" xfId="1088" xr:uid="{00000000-0005-0000-0000-0000F32E0000}"/>
    <cellStyle name="Warning Text 2" xfId="193" xr:uid="{00000000-0005-0000-0000-0000F42E0000}"/>
    <cellStyle name="Warning Text 3" xfId="1089" xr:uid="{00000000-0005-0000-0000-0000F52E0000}"/>
    <cellStyle name="Warning Text 4" xfId="1090" xr:uid="{00000000-0005-0000-0000-0000F62E0000}"/>
    <cellStyle name="Warning Text 5" xfId="1091" xr:uid="{00000000-0005-0000-0000-0000F72E0000}"/>
    <cellStyle name="Warning Text 6" xfId="1092" xr:uid="{00000000-0005-0000-0000-0000F82E0000}"/>
    <cellStyle name="Warning Text 7" xfId="1093" xr:uid="{00000000-0005-0000-0000-0000F92E0000}"/>
    <cellStyle name="Warning Text 8" xfId="1094" xr:uid="{00000000-0005-0000-0000-0000FA2E0000}"/>
    <cellStyle name="Warning Text 9" xfId="1095" xr:uid="{00000000-0005-0000-0000-0000FB2E0000}"/>
  </cellStyles>
  <dxfs count="4">
    <dxf>
      <font>
        <b/>
        <i val="0"/>
        <color rgb="FFFF0000"/>
      </font>
    </dxf>
    <dxf>
      <font>
        <b/>
        <i val="0"/>
        <color rgb="FF00B050"/>
      </font>
    </dxf>
    <dxf>
      <font>
        <color rgb="FF00B050"/>
      </font>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OF/Monthly%20Reporting/JBC%20Monthly%20Reports/FY%202015-16/06%20December%202015/JBC%20Premiums%20Report%20December%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OF/Monthly%20Reporting/JBC%20Monthly%20Reports/PCPP%20and%20HMO%20Caseloa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cpfsrv03\shared-BUDGETOF\FICU\CHP+\CHP%20Caseload%20Track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cpfisilonshare\FIN\CHP+\Reports\FY%202013-14%20Reporting\CHP%20Caseload%20Tracki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cpfisilonshare\FIN\Monthly%20Reporting\JBC%20Monthly%20Reports\FY%202015-16\FY%202015-16%20Expansion%20Expenditu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miums Expend"/>
      <sheetName val="Premiums Approp"/>
      <sheetName val="Hospital Supplemental Payments"/>
      <sheetName val="Expansion Expenditure"/>
      <sheetName val="Medicaid Caseload"/>
      <sheetName val="Caseload by Program"/>
      <sheetName val="ACC RCCO County"/>
      <sheetName val="MH Expend"/>
      <sheetName val="MH by BHO"/>
      <sheetName val="CBHP Expend"/>
      <sheetName val="CBHP Caseload"/>
      <sheetName val="DiDD Expend and Caseload"/>
      <sheetName val="OAP Expend and Caseload"/>
      <sheetName val="MMA Expend and Caseload"/>
      <sheetName val="Graph for Web- DO NOT PRINT"/>
    </sheetNames>
    <sheetDataSet>
      <sheetData sheetId="0"/>
      <sheetData sheetId="1"/>
      <sheetData sheetId="2"/>
      <sheetData sheetId="3"/>
      <sheetData sheetId="4"/>
      <sheetData sheetId="5"/>
      <sheetData sheetId="6"/>
      <sheetData sheetId="7"/>
      <sheetData sheetId="8"/>
      <sheetData sheetId="9"/>
      <sheetData sheetId="10">
        <row r="16">
          <cell r="S16">
            <v>4458</v>
          </cell>
        </row>
        <row r="17">
          <cell r="S17">
            <v>71057</v>
          </cell>
        </row>
        <row r="18">
          <cell r="S18">
            <v>69973</v>
          </cell>
        </row>
        <row r="19">
          <cell r="S19">
            <v>68488</v>
          </cell>
        </row>
        <row r="20">
          <cell r="S20">
            <v>68047</v>
          </cell>
        </row>
        <row r="21">
          <cell r="S21">
            <v>68278</v>
          </cell>
        </row>
        <row r="22">
          <cell r="S22">
            <v>69221</v>
          </cell>
        </row>
        <row r="23">
          <cell r="S23">
            <v>69655</v>
          </cell>
        </row>
        <row r="24">
          <cell r="S24">
            <v>70438</v>
          </cell>
        </row>
        <row r="25">
          <cell r="S25">
            <v>69488</v>
          </cell>
        </row>
        <row r="26">
          <cell r="S26">
            <v>66922</v>
          </cell>
        </row>
        <row r="27">
          <cell r="F27">
            <v>63956</v>
          </cell>
          <cell r="J27">
            <v>1804</v>
          </cell>
          <cell r="S27">
            <v>65760</v>
          </cell>
        </row>
        <row r="29">
          <cell r="S29">
            <v>65537</v>
          </cell>
        </row>
        <row r="30">
          <cell r="S30">
            <v>65991</v>
          </cell>
        </row>
        <row r="31">
          <cell r="S31">
            <v>66691</v>
          </cell>
        </row>
        <row r="32">
          <cell r="S32">
            <v>68766</v>
          </cell>
        </row>
        <row r="33">
          <cell r="S33">
            <v>71988</v>
          </cell>
        </row>
        <row r="34">
          <cell r="S34">
            <v>74030</v>
          </cell>
        </row>
        <row r="35">
          <cell r="S35">
            <v>79362</v>
          </cell>
        </row>
        <row r="36">
          <cell r="S36">
            <v>81665</v>
          </cell>
        </row>
        <row r="37">
          <cell r="S37">
            <v>84088</v>
          </cell>
        </row>
        <row r="38">
          <cell r="S38">
            <v>86282</v>
          </cell>
        </row>
        <row r="39">
          <cell r="S39">
            <v>86521</v>
          </cell>
        </row>
        <row r="40">
          <cell r="S40">
            <v>85035</v>
          </cell>
        </row>
        <row r="42">
          <cell r="S42">
            <v>85854</v>
          </cell>
        </row>
        <row r="43">
          <cell r="E43">
            <v>14509</v>
          </cell>
          <cell r="I43">
            <v>459</v>
          </cell>
          <cell r="S43">
            <v>85569</v>
          </cell>
        </row>
        <row r="44">
          <cell r="S44">
            <v>84520</v>
          </cell>
        </row>
        <row r="45">
          <cell r="S45">
            <v>85057</v>
          </cell>
        </row>
        <row r="46">
          <cell r="S46">
            <v>86462</v>
          </cell>
        </row>
        <row r="47">
          <cell r="S47">
            <v>87167</v>
          </cell>
        </row>
        <row r="48">
          <cell r="S48">
            <v>82347</v>
          </cell>
        </row>
        <row r="49">
          <cell r="S49">
            <v>76825</v>
          </cell>
        </row>
        <row r="50">
          <cell r="S50">
            <v>72582</v>
          </cell>
        </row>
        <row r="51">
          <cell r="S51">
            <v>72350</v>
          </cell>
        </row>
        <row r="52">
          <cell r="S52">
            <v>68506</v>
          </cell>
        </row>
        <row r="53">
          <cell r="S53">
            <v>66119</v>
          </cell>
        </row>
        <row r="55">
          <cell r="S55">
            <v>69685</v>
          </cell>
        </row>
        <row r="56">
          <cell r="S56">
            <v>69087</v>
          </cell>
        </row>
        <row r="57">
          <cell r="S57">
            <v>68020</v>
          </cell>
        </row>
        <row r="58">
          <cell r="S58">
            <v>65045</v>
          </cell>
        </row>
        <row r="59">
          <cell r="S59">
            <v>60221</v>
          </cell>
        </row>
        <row r="60">
          <cell r="S60">
            <v>61420</v>
          </cell>
        </row>
        <row r="61">
          <cell r="S61">
            <v>61119</v>
          </cell>
        </row>
        <row r="62">
          <cell r="S62">
            <v>57406</v>
          </cell>
        </row>
        <row r="110">
          <cell r="F110">
            <v>49711</v>
          </cell>
        </row>
        <row r="117">
          <cell r="F117">
            <v>13958</v>
          </cell>
        </row>
        <row r="118">
          <cell r="F118">
            <v>14358</v>
          </cell>
        </row>
        <row r="119">
          <cell r="F119">
            <v>15070</v>
          </cell>
        </row>
        <row r="120">
          <cell r="F120">
            <v>17130</v>
          </cell>
        </row>
        <row r="121">
          <cell r="F121">
            <v>20333</v>
          </cell>
        </row>
        <row r="122">
          <cell r="F122">
            <v>22326</v>
          </cell>
        </row>
        <row r="123">
          <cell r="F123">
            <v>27563</v>
          </cell>
        </row>
        <row r="124">
          <cell r="F124">
            <v>29738</v>
          </cell>
        </row>
        <row r="125">
          <cell r="F125">
            <v>32114</v>
          </cell>
        </row>
        <row r="126">
          <cell r="F126">
            <v>34341</v>
          </cell>
        </row>
        <row r="127">
          <cell r="F127">
            <v>34579</v>
          </cell>
        </row>
        <row r="128">
          <cell r="F128">
            <v>33145</v>
          </cell>
        </row>
      </sheetData>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P-PIP"/>
      <sheetName val="HMO + PACE"/>
      <sheetName val="PCPP"/>
      <sheetName val="ACC"/>
      <sheetName val="data"/>
      <sheetName val="ACC Pivot Bret"/>
      <sheetName val="ACC pivot data"/>
      <sheetName val="aug july hmo"/>
      <sheetName val="Update for Parents migration"/>
      <sheetName val="pivot"/>
      <sheetName val="ACC Pivot"/>
    </sheetNames>
    <sheetDataSet>
      <sheetData sheetId="0"/>
      <sheetData sheetId="1">
        <row r="36">
          <cell r="B36">
            <v>1544</v>
          </cell>
          <cell r="C36">
            <v>548</v>
          </cell>
          <cell r="D36">
            <v>3051</v>
          </cell>
          <cell r="E36">
            <v>283</v>
          </cell>
          <cell r="F36">
            <v>7638</v>
          </cell>
          <cell r="G36">
            <v>5166</v>
          </cell>
          <cell r="H36">
            <v>15217</v>
          </cell>
          <cell r="I36">
            <v>6</v>
          </cell>
          <cell r="J36">
            <v>4</v>
          </cell>
          <cell r="K36">
            <v>0</v>
          </cell>
          <cell r="L36">
            <v>0</v>
          </cell>
          <cell r="M36">
            <v>700</v>
          </cell>
          <cell r="N36">
            <v>81</v>
          </cell>
          <cell r="O36">
            <v>0</v>
          </cell>
          <cell r="P36">
            <v>2</v>
          </cell>
          <cell r="Q36">
            <v>34240</v>
          </cell>
        </row>
        <row r="37">
          <cell r="B37">
            <v>1529</v>
          </cell>
          <cell r="C37">
            <v>545</v>
          </cell>
          <cell r="D37">
            <v>3013</v>
          </cell>
          <cell r="E37">
            <v>275</v>
          </cell>
          <cell r="F37">
            <v>7312</v>
          </cell>
          <cell r="G37">
            <v>5047</v>
          </cell>
          <cell r="H37">
            <v>14766</v>
          </cell>
          <cell r="I37">
            <v>6</v>
          </cell>
          <cell r="J37">
            <v>5</v>
          </cell>
          <cell r="K37">
            <v>1</v>
          </cell>
          <cell r="L37">
            <v>1</v>
          </cell>
          <cell r="M37">
            <v>652</v>
          </cell>
          <cell r="N37">
            <v>71</v>
          </cell>
          <cell r="O37">
            <v>0</v>
          </cell>
          <cell r="P37">
            <v>3</v>
          </cell>
          <cell r="Q37">
            <v>33226</v>
          </cell>
        </row>
        <row r="38">
          <cell r="B38">
            <v>1562</v>
          </cell>
          <cell r="C38">
            <v>549</v>
          </cell>
          <cell r="D38">
            <v>3009</v>
          </cell>
          <cell r="E38">
            <v>285</v>
          </cell>
          <cell r="F38">
            <v>7283</v>
          </cell>
          <cell r="G38">
            <v>5046</v>
          </cell>
          <cell r="H38">
            <v>14833</v>
          </cell>
          <cell r="I38">
            <v>6</v>
          </cell>
          <cell r="J38">
            <v>3</v>
          </cell>
          <cell r="K38">
            <v>1</v>
          </cell>
          <cell r="L38">
            <v>0</v>
          </cell>
          <cell r="M38">
            <v>615</v>
          </cell>
          <cell r="N38">
            <v>71</v>
          </cell>
          <cell r="O38">
            <v>0</v>
          </cell>
          <cell r="P38">
            <v>2</v>
          </cell>
          <cell r="Q38">
            <v>33265</v>
          </cell>
        </row>
        <row r="39">
          <cell r="B39">
            <v>1573</v>
          </cell>
          <cell r="C39">
            <v>550</v>
          </cell>
          <cell r="D39">
            <v>3030</v>
          </cell>
          <cell r="E39">
            <v>301</v>
          </cell>
          <cell r="F39">
            <v>7374</v>
          </cell>
          <cell r="G39">
            <v>4854</v>
          </cell>
          <cell r="H39">
            <v>14775</v>
          </cell>
          <cell r="I39">
            <v>6</v>
          </cell>
          <cell r="J39">
            <v>3</v>
          </cell>
          <cell r="K39">
            <v>0</v>
          </cell>
          <cell r="L39">
            <v>0</v>
          </cell>
          <cell r="M39">
            <v>594</v>
          </cell>
          <cell r="N39">
            <v>63</v>
          </cell>
          <cell r="O39">
            <v>0</v>
          </cell>
          <cell r="P39">
            <v>2</v>
          </cell>
          <cell r="Q39">
            <v>33125</v>
          </cell>
        </row>
        <row r="40">
          <cell r="B40">
            <v>1598</v>
          </cell>
          <cell r="C40">
            <v>560</v>
          </cell>
          <cell r="D40">
            <v>3036</v>
          </cell>
          <cell r="E40">
            <v>317</v>
          </cell>
          <cell r="F40">
            <v>7431</v>
          </cell>
          <cell r="G40">
            <v>4854</v>
          </cell>
          <cell r="H40">
            <v>15140</v>
          </cell>
          <cell r="I40">
            <v>6</v>
          </cell>
          <cell r="J40">
            <v>3</v>
          </cell>
          <cell r="K40">
            <v>1</v>
          </cell>
          <cell r="L40">
            <v>0</v>
          </cell>
          <cell r="M40">
            <v>578</v>
          </cell>
          <cell r="N40">
            <v>68</v>
          </cell>
          <cell r="O40">
            <v>0</v>
          </cell>
          <cell r="P40">
            <v>4</v>
          </cell>
          <cell r="Q40">
            <v>33596</v>
          </cell>
        </row>
        <row r="41">
          <cell r="B41">
            <v>1573</v>
          </cell>
          <cell r="C41">
            <v>560</v>
          </cell>
          <cell r="D41">
            <v>2964</v>
          </cell>
          <cell r="E41">
            <v>323</v>
          </cell>
          <cell r="F41">
            <v>7498</v>
          </cell>
          <cell r="G41">
            <v>4923</v>
          </cell>
          <cell r="H41">
            <v>15116</v>
          </cell>
          <cell r="I41">
            <v>6</v>
          </cell>
          <cell r="J41">
            <v>13</v>
          </cell>
          <cell r="K41">
            <v>0</v>
          </cell>
          <cell r="L41">
            <v>0</v>
          </cell>
          <cell r="M41">
            <v>563</v>
          </cell>
          <cell r="N41">
            <v>66</v>
          </cell>
          <cell r="O41">
            <v>0</v>
          </cell>
          <cell r="P41">
            <v>3</v>
          </cell>
          <cell r="Q41">
            <v>33608</v>
          </cell>
        </row>
        <row r="42">
          <cell r="B42">
            <v>1679</v>
          </cell>
          <cell r="C42">
            <v>590</v>
          </cell>
          <cell r="D42">
            <v>3268</v>
          </cell>
          <cell r="E42">
            <v>323</v>
          </cell>
          <cell r="F42">
            <v>7902</v>
          </cell>
          <cell r="G42">
            <v>4739</v>
          </cell>
          <cell r="H42">
            <v>16220</v>
          </cell>
          <cell r="I42">
            <v>6</v>
          </cell>
          <cell r="J42">
            <v>4</v>
          </cell>
          <cell r="K42">
            <v>0</v>
          </cell>
          <cell r="L42">
            <v>2</v>
          </cell>
          <cell r="M42">
            <v>622</v>
          </cell>
          <cell r="N42">
            <v>73</v>
          </cell>
          <cell r="O42">
            <v>0</v>
          </cell>
          <cell r="P42">
            <v>0</v>
          </cell>
          <cell r="Q42">
            <v>35428</v>
          </cell>
        </row>
        <row r="43">
          <cell r="B43">
            <v>1673</v>
          </cell>
          <cell r="C43">
            <v>582</v>
          </cell>
          <cell r="D43">
            <v>3227</v>
          </cell>
          <cell r="E43">
            <v>326</v>
          </cell>
          <cell r="F43">
            <v>7981</v>
          </cell>
          <cell r="G43">
            <v>4624</v>
          </cell>
          <cell r="H43">
            <v>16295</v>
          </cell>
          <cell r="I43">
            <v>6</v>
          </cell>
          <cell r="J43">
            <v>5</v>
          </cell>
          <cell r="K43">
            <v>0</v>
          </cell>
          <cell r="L43">
            <v>0</v>
          </cell>
          <cell r="M43">
            <v>618</v>
          </cell>
          <cell r="N43">
            <v>67</v>
          </cell>
          <cell r="O43">
            <v>0</v>
          </cell>
          <cell r="P43">
            <v>2</v>
          </cell>
          <cell r="Q43">
            <v>35406</v>
          </cell>
        </row>
        <row r="44">
          <cell r="B44">
            <v>1655</v>
          </cell>
          <cell r="C44">
            <v>586</v>
          </cell>
          <cell r="D44">
            <v>3185</v>
          </cell>
          <cell r="E44">
            <v>341</v>
          </cell>
          <cell r="F44">
            <v>8128</v>
          </cell>
          <cell r="G44">
            <v>8190</v>
          </cell>
          <cell r="H44">
            <v>13112</v>
          </cell>
          <cell r="I44">
            <v>7</v>
          </cell>
          <cell r="J44">
            <v>14</v>
          </cell>
          <cell r="K44">
            <v>4</v>
          </cell>
          <cell r="M44">
            <v>598</v>
          </cell>
          <cell r="N44">
            <v>115</v>
          </cell>
          <cell r="Q44">
            <v>35935</v>
          </cell>
        </row>
        <row r="45">
          <cell r="B45">
            <v>1604</v>
          </cell>
          <cell r="C45">
            <v>593</v>
          </cell>
          <cell r="D45">
            <v>3171</v>
          </cell>
          <cell r="E45">
            <v>329</v>
          </cell>
          <cell r="F45">
            <v>8638</v>
          </cell>
          <cell r="G45">
            <v>7186</v>
          </cell>
          <cell r="H45">
            <v>13775</v>
          </cell>
          <cell r="I45">
            <v>6</v>
          </cell>
          <cell r="J45">
            <v>20</v>
          </cell>
          <cell r="K45">
            <v>4</v>
          </cell>
          <cell r="M45">
            <v>587</v>
          </cell>
          <cell r="N45">
            <v>113</v>
          </cell>
          <cell r="Q45">
            <v>36026</v>
          </cell>
        </row>
        <row r="46">
          <cell r="B46">
            <v>1612</v>
          </cell>
          <cell r="C46">
            <v>595</v>
          </cell>
          <cell r="D46">
            <v>3165</v>
          </cell>
          <cell r="E46">
            <v>349</v>
          </cell>
          <cell r="F46">
            <v>9028</v>
          </cell>
          <cell r="G46">
            <v>6134</v>
          </cell>
          <cell r="H46">
            <v>15561</v>
          </cell>
          <cell r="I46">
            <v>6</v>
          </cell>
          <cell r="J46">
            <v>41</v>
          </cell>
          <cell r="K46">
            <v>7</v>
          </cell>
          <cell r="L46">
            <v>2</v>
          </cell>
          <cell r="M46">
            <v>570</v>
          </cell>
          <cell r="N46">
            <v>124</v>
          </cell>
          <cell r="Q46">
            <v>37194</v>
          </cell>
        </row>
        <row r="47">
          <cell r="B47">
            <v>1554</v>
          </cell>
          <cell r="C47">
            <v>593</v>
          </cell>
          <cell r="D47">
            <v>3191</v>
          </cell>
          <cell r="E47">
            <v>390</v>
          </cell>
          <cell r="F47">
            <v>9146</v>
          </cell>
          <cell r="G47">
            <v>4518</v>
          </cell>
          <cell r="H47">
            <v>17540</v>
          </cell>
          <cell r="I47">
            <v>6</v>
          </cell>
          <cell r="J47">
            <v>33</v>
          </cell>
          <cell r="K47">
            <v>8</v>
          </cell>
          <cell r="M47">
            <v>562</v>
          </cell>
          <cell r="N47">
            <v>129</v>
          </cell>
          <cell r="Q47">
            <v>37670</v>
          </cell>
        </row>
        <row r="99">
          <cell r="B99">
            <v>2526</v>
          </cell>
          <cell r="C99">
            <v>914</v>
          </cell>
          <cell r="D99">
            <v>4285</v>
          </cell>
          <cell r="E99">
            <v>47</v>
          </cell>
          <cell r="F99">
            <v>9271</v>
          </cell>
          <cell r="G99">
            <v>4185</v>
          </cell>
          <cell r="H99">
            <v>13795</v>
          </cell>
          <cell r="I99">
            <v>2</v>
          </cell>
          <cell r="J99">
            <v>34350</v>
          </cell>
          <cell r="K99">
            <v>4496</v>
          </cell>
          <cell r="L99">
            <v>276</v>
          </cell>
          <cell r="M99">
            <v>646</v>
          </cell>
          <cell r="N99">
            <v>67</v>
          </cell>
          <cell r="O99">
            <v>0</v>
          </cell>
          <cell r="P99">
            <v>2</v>
          </cell>
          <cell r="Q99">
            <v>74862</v>
          </cell>
        </row>
        <row r="100">
          <cell r="B100">
            <v>2570</v>
          </cell>
          <cell r="C100">
            <v>914</v>
          </cell>
          <cell r="D100">
            <v>4270</v>
          </cell>
          <cell r="E100">
            <v>48</v>
          </cell>
          <cell r="F100">
            <v>9130</v>
          </cell>
          <cell r="G100">
            <v>4142</v>
          </cell>
          <cell r="H100">
            <v>14448</v>
          </cell>
          <cell r="I100">
            <v>1</v>
          </cell>
          <cell r="J100">
            <v>34158</v>
          </cell>
          <cell r="K100">
            <v>4554</v>
          </cell>
          <cell r="L100">
            <v>269</v>
          </cell>
          <cell r="M100">
            <v>665</v>
          </cell>
          <cell r="N100">
            <v>65</v>
          </cell>
          <cell r="O100">
            <v>0</v>
          </cell>
          <cell r="P100">
            <v>3</v>
          </cell>
          <cell r="Q100">
            <v>75237</v>
          </cell>
        </row>
        <row r="101">
          <cell r="B101">
            <v>2602</v>
          </cell>
          <cell r="C101">
            <v>919</v>
          </cell>
          <cell r="D101">
            <v>4256</v>
          </cell>
          <cell r="E101">
            <v>42</v>
          </cell>
          <cell r="F101">
            <v>9164</v>
          </cell>
          <cell r="G101">
            <v>4119</v>
          </cell>
          <cell r="H101">
            <v>14978</v>
          </cell>
          <cell r="I101">
            <v>1</v>
          </cell>
          <cell r="J101">
            <v>33849</v>
          </cell>
          <cell r="K101">
            <v>4561</v>
          </cell>
          <cell r="L101">
            <v>239</v>
          </cell>
          <cell r="M101">
            <v>615</v>
          </cell>
          <cell r="N101">
            <v>64</v>
          </cell>
          <cell r="O101">
            <v>0</v>
          </cell>
          <cell r="P101">
            <v>4</v>
          </cell>
          <cell r="Q101">
            <v>75413</v>
          </cell>
        </row>
        <row r="102">
          <cell r="B102">
            <v>2601</v>
          </cell>
          <cell r="C102">
            <v>925</v>
          </cell>
          <cell r="D102">
            <v>4226</v>
          </cell>
          <cell r="E102">
            <v>46</v>
          </cell>
          <cell r="F102">
            <v>9271</v>
          </cell>
          <cell r="G102">
            <v>3915</v>
          </cell>
          <cell r="H102">
            <v>14988</v>
          </cell>
          <cell r="I102">
            <v>1</v>
          </cell>
          <cell r="J102">
            <v>33631</v>
          </cell>
          <cell r="K102">
            <v>4556</v>
          </cell>
          <cell r="L102">
            <v>239</v>
          </cell>
          <cell r="M102">
            <v>598</v>
          </cell>
          <cell r="N102">
            <v>64</v>
          </cell>
          <cell r="O102">
            <v>0</v>
          </cell>
          <cell r="P102">
            <v>2</v>
          </cell>
          <cell r="Q102">
            <v>75063</v>
          </cell>
        </row>
        <row r="103">
          <cell r="B103">
            <v>2661</v>
          </cell>
          <cell r="C103">
            <v>934</v>
          </cell>
          <cell r="D103">
            <v>4203</v>
          </cell>
          <cell r="E103">
            <v>48</v>
          </cell>
          <cell r="F103">
            <v>9362</v>
          </cell>
          <cell r="G103">
            <v>3940</v>
          </cell>
          <cell r="H103">
            <v>15684</v>
          </cell>
          <cell r="I103">
            <v>1</v>
          </cell>
          <cell r="J103">
            <v>33728</v>
          </cell>
          <cell r="K103">
            <v>4322</v>
          </cell>
          <cell r="L103">
            <v>216</v>
          </cell>
          <cell r="M103">
            <v>583</v>
          </cell>
          <cell r="N103">
            <v>50</v>
          </cell>
          <cell r="O103">
            <v>0</v>
          </cell>
          <cell r="P103">
            <v>0</v>
          </cell>
          <cell r="Q103">
            <v>75732</v>
          </cell>
        </row>
        <row r="104">
          <cell r="B104">
            <v>2616</v>
          </cell>
          <cell r="C104">
            <v>918</v>
          </cell>
          <cell r="D104">
            <v>4118</v>
          </cell>
          <cell r="E104">
            <v>49</v>
          </cell>
          <cell r="F104">
            <v>9405</v>
          </cell>
          <cell r="G104">
            <v>3959</v>
          </cell>
          <cell r="H104">
            <v>15988</v>
          </cell>
          <cell r="I104">
            <v>1</v>
          </cell>
          <cell r="J104">
            <v>33434</v>
          </cell>
          <cell r="K104">
            <v>4429</v>
          </cell>
          <cell r="L104">
            <v>210</v>
          </cell>
          <cell r="M104">
            <v>552</v>
          </cell>
          <cell r="N104">
            <v>49</v>
          </cell>
          <cell r="O104">
            <v>0</v>
          </cell>
          <cell r="P104">
            <v>2</v>
          </cell>
          <cell r="Q104">
            <v>75730</v>
          </cell>
        </row>
        <row r="105">
          <cell r="B105">
            <v>2696</v>
          </cell>
          <cell r="C105">
            <v>940</v>
          </cell>
          <cell r="D105">
            <v>4228</v>
          </cell>
          <cell r="E105">
            <v>45</v>
          </cell>
          <cell r="F105">
            <v>9394</v>
          </cell>
          <cell r="G105">
            <v>3680</v>
          </cell>
          <cell r="H105">
            <v>16088</v>
          </cell>
          <cell r="I105">
            <v>1</v>
          </cell>
          <cell r="J105">
            <v>33187</v>
          </cell>
          <cell r="K105">
            <v>4531</v>
          </cell>
          <cell r="L105">
            <v>200</v>
          </cell>
          <cell r="M105">
            <v>565</v>
          </cell>
          <cell r="N105">
            <v>46</v>
          </cell>
          <cell r="O105">
            <v>2</v>
          </cell>
          <cell r="P105">
            <v>2</v>
          </cell>
          <cell r="Q105">
            <v>75605</v>
          </cell>
        </row>
        <row r="106">
          <cell r="B106">
            <v>2763</v>
          </cell>
          <cell r="C106">
            <v>934</v>
          </cell>
          <cell r="D106">
            <v>4208</v>
          </cell>
          <cell r="E106">
            <v>49</v>
          </cell>
          <cell r="F106">
            <v>9519</v>
          </cell>
          <cell r="G106">
            <v>3710</v>
          </cell>
          <cell r="H106">
            <v>16761</v>
          </cell>
          <cell r="I106">
            <v>1</v>
          </cell>
          <cell r="J106">
            <v>33231</v>
          </cell>
          <cell r="K106">
            <v>4493</v>
          </cell>
          <cell r="L106">
            <v>195</v>
          </cell>
          <cell r="M106">
            <v>551</v>
          </cell>
          <cell r="N106">
            <v>47</v>
          </cell>
          <cell r="O106">
            <v>0</v>
          </cell>
          <cell r="P106">
            <v>2</v>
          </cell>
          <cell r="Q106">
            <v>76464</v>
          </cell>
        </row>
        <row r="107">
          <cell r="B107">
            <v>2959</v>
          </cell>
          <cell r="C107">
            <v>945</v>
          </cell>
          <cell r="D107">
            <v>4221</v>
          </cell>
          <cell r="E107">
            <v>56</v>
          </cell>
          <cell r="F107">
            <v>9773</v>
          </cell>
          <cell r="G107">
            <v>7024</v>
          </cell>
          <cell r="H107">
            <v>14969</v>
          </cell>
          <cell r="I107">
            <v>2</v>
          </cell>
          <cell r="J107">
            <v>33395</v>
          </cell>
          <cell r="K107">
            <v>4655</v>
          </cell>
          <cell r="L107">
            <v>187</v>
          </cell>
          <cell r="M107">
            <v>580</v>
          </cell>
          <cell r="N107">
            <v>70</v>
          </cell>
          <cell r="Q107">
            <v>78836</v>
          </cell>
        </row>
        <row r="108">
          <cell r="B108">
            <v>1736</v>
          </cell>
          <cell r="C108">
            <v>740</v>
          </cell>
          <cell r="D108">
            <v>3489</v>
          </cell>
          <cell r="E108">
            <v>51</v>
          </cell>
          <cell r="F108">
            <v>10255</v>
          </cell>
          <cell r="G108">
            <v>6420</v>
          </cell>
          <cell r="H108">
            <v>16439</v>
          </cell>
          <cell r="I108">
            <v>3</v>
          </cell>
          <cell r="J108">
            <v>34254</v>
          </cell>
          <cell r="K108">
            <v>4594</v>
          </cell>
          <cell r="L108">
            <v>228</v>
          </cell>
          <cell r="M108">
            <v>578</v>
          </cell>
          <cell r="N108">
            <v>66</v>
          </cell>
          <cell r="Q108">
            <v>78853</v>
          </cell>
        </row>
        <row r="109">
          <cell r="B109">
            <v>2368</v>
          </cell>
          <cell r="C109">
            <v>802</v>
          </cell>
          <cell r="D109">
            <v>3745</v>
          </cell>
          <cell r="E109">
            <v>146</v>
          </cell>
          <cell r="F109">
            <v>11191</v>
          </cell>
          <cell r="G109">
            <v>5949</v>
          </cell>
          <cell r="H109">
            <v>19735</v>
          </cell>
          <cell r="I109">
            <v>13</v>
          </cell>
          <cell r="J109">
            <v>35101</v>
          </cell>
          <cell r="K109">
            <v>4871</v>
          </cell>
          <cell r="L109">
            <v>235</v>
          </cell>
          <cell r="M109">
            <v>626</v>
          </cell>
          <cell r="N109">
            <v>78</v>
          </cell>
          <cell r="Q109">
            <v>84860</v>
          </cell>
        </row>
        <row r="110">
          <cell r="B110">
            <v>1991</v>
          </cell>
          <cell r="C110">
            <v>751</v>
          </cell>
          <cell r="D110">
            <v>3680</v>
          </cell>
          <cell r="E110">
            <v>191</v>
          </cell>
          <cell r="F110">
            <v>11873</v>
          </cell>
          <cell r="G110">
            <v>4567</v>
          </cell>
          <cell r="H110">
            <v>24201</v>
          </cell>
          <cell r="I110">
            <v>13</v>
          </cell>
          <cell r="J110">
            <v>36699</v>
          </cell>
          <cell r="K110">
            <v>4943</v>
          </cell>
          <cell r="L110">
            <v>247</v>
          </cell>
          <cell r="M110">
            <v>700</v>
          </cell>
          <cell r="N110">
            <v>95</v>
          </cell>
          <cell r="Q110">
            <v>89951</v>
          </cell>
        </row>
        <row r="130">
          <cell r="B130">
            <v>35</v>
          </cell>
          <cell r="C130">
            <v>71</v>
          </cell>
          <cell r="D130">
            <v>824</v>
          </cell>
          <cell r="E130">
            <v>25</v>
          </cell>
          <cell r="F130">
            <v>3458</v>
          </cell>
          <cell r="G130">
            <v>2077</v>
          </cell>
          <cell r="H130">
            <v>5351</v>
          </cell>
          <cell r="I130">
            <v>0</v>
          </cell>
          <cell r="J130">
            <v>9005</v>
          </cell>
          <cell r="K130">
            <v>1615</v>
          </cell>
          <cell r="L130">
            <v>333</v>
          </cell>
          <cell r="M130">
            <v>179</v>
          </cell>
          <cell r="N130">
            <v>19</v>
          </cell>
          <cell r="O130">
            <v>0</v>
          </cell>
          <cell r="P130">
            <v>0</v>
          </cell>
          <cell r="Q130">
            <v>22992</v>
          </cell>
        </row>
        <row r="131">
          <cell r="B131">
            <v>33</v>
          </cell>
          <cell r="C131">
            <v>70</v>
          </cell>
          <cell r="D131">
            <v>810</v>
          </cell>
          <cell r="E131">
            <v>24</v>
          </cell>
          <cell r="F131">
            <v>3436</v>
          </cell>
          <cell r="G131">
            <v>2038</v>
          </cell>
          <cell r="H131">
            <v>5307</v>
          </cell>
          <cell r="I131">
            <v>0</v>
          </cell>
          <cell r="J131">
            <v>8925</v>
          </cell>
          <cell r="K131">
            <v>1649</v>
          </cell>
          <cell r="L131">
            <v>328</v>
          </cell>
          <cell r="M131">
            <v>173</v>
          </cell>
          <cell r="N131">
            <v>19</v>
          </cell>
          <cell r="O131">
            <v>0</v>
          </cell>
          <cell r="P131">
            <v>0</v>
          </cell>
          <cell r="Q131">
            <v>22812</v>
          </cell>
        </row>
        <row r="132">
          <cell r="B132">
            <v>36</v>
          </cell>
          <cell r="C132">
            <v>75</v>
          </cell>
          <cell r="D132">
            <v>796</v>
          </cell>
          <cell r="E132">
            <v>28</v>
          </cell>
          <cell r="F132">
            <v>3434</v>
          </cell>
          <cell r="G132">
            <v>2051</v>
          </cell>
          <cell r="H132">
            <v>5350</v>
          </cell>
          <cell r="I132">
            <v>0</v>
          </cell>
          <cell r="J132">
            <v>8965</v>
          </cell>
          <cell r="K132">
            <v>1632</v>
          </cell>
          <cell r="L132">
            <v>319</v>
          </cell>
          <cell r="M132">
            <v>163</v>
          </cell>
          <cell r="N132">
            <v>20</v>
          </cell>
          <cell r="O132">
            <v>0</v>
          </cell>
          <cell r="P132">
            <v>2</v>
          </cell>
          <cell r="Q132">
            <v>22871</v>
          </cell>
        </row>
        <row r="133">
          <cell r="B133">
            <v>36</v>
          </cell>
          <cell r="C133">
            <v>75</v>
          </cell>
          <cell r="D133">
            <v>789</v>
          </cell>
          <cell r="E133">
            <v>28</v>
          </cell>
          <cell r="F133">
            <v>3447</v>
          </cell>
          <cell r="G133">
            <v>1971</v>
          </cell>
          <cell r="H133">
            <v>5208</v>
          </cell>
          <cell r="I133">
            <v>0</v>
          </cell>
          <cell r="J133">
            <v>8884</v>
          </cell>
          <cell r="K133">
            <v>1629</v>
          </cell>
          <cell r="L133">
            <v>316</v>
          </cell>
          <cell r="M133">
            <v>163</v>
          </cell>
          <cell r="N133">
            <v>19</v>
          </cell>
          <cell r="O133">
            <v>0</v>
          </cell>
          <cell r="P133">
            <v>1</v>
          </cell>
          <cell r="Q133">
            <v>22566</v>
          </cell>
        </row>
        <row r="134">
          <cell r="B134">
            <v>38</v>
          </cell>
          <cell r="C134">
            <v>73</v>
          </cell>
          <cell r="D134">
            <v>790</v>
          </cell>
          <cell r="E134">
            <v>25</v>
          </cell>
          <cell r="F134">
            <v>3455</v>
          </cell>
          <cell r="G134">
            <v>1974</v>
          </cell>
          <cell r="H134">
            <v>5214</v>
          </cell>
          <cell r="I134">
            <v>0</v>
          </cell>
          <cell r="J134">
            <v>8918</v>
          </cell>
          <cell r="K134">
            <v>1544</v>
          </cell>
          <cell r="L134">
            <v>305</v>
          </cell>
          <cell r="M134">
            <v>160</v>
          </cell>
          <cell r="N134">
            <v>19</v>
          </cell>
          <cell r="O134">
            <v>0</v>
          </cell>
          <cell r="P134">
            <v>0</v>
          </cell>
          <cell r="Q134">
            <v>22515</v>
          </cell>
        </row>
        <row r="135">
          <cell r="B135">
            <v>39</v>
          </cell>
          <cell r="C135">
            <v>74</v>
          </cell>
          <cell r="D135">
            <v>752</v>
          </cell>
          <cell r="E135">
            <v>21</v>
          </cell>
          <cell r="F135">
            <v>3428</v>
          </cell>
          <cell r="G135">
            <v>1968</v>
          </cell>
          <cell r="H135">
            <v>5197</v>
          </cell>
          <cell r="I135">
            <v>0</v>
          </cell>
          <cell r="J135">
            <v>8800</v>
          </cell>
          <cell r="K135">
            <v>1559</v>
          </cell>
          <cell r="L135">
            <v>306</v>
          </cell>
          <cell r="M135">
            <v>160</v>
          </cell>
          <cell r="N135">
            <v>21</v>
          </cell>
          <cell r="O135">
            <v>0</v>
          </cell>
          <cell r="P135">
            <v>0</v>
          </cell>
          <cell r="Q135">
            <v>22325</v>
          </cell>
        </row>
        <row r="136">
          <cell r="B136">
            <v>36</v>
          </cell>
          <cell r="C136">
            <v>77</v>
          </cell>
          <cell r="D136">
            <v>767</v>
          </cell>
          <cell r="E136">
            <v>22</v>
          </cell>
          <cell r="F136">
            <v>3383</v>
          </cell>
          <cell r="G136">
            <v>1870</v>
          </cell>
          <cell r="H136">
            <v>5176</v>
          </cell>
          <cell r="I136">
            <v>0</v>
          </cell>
          <cell r="J136">
            <v>8603</v>
          </cell>
          <cell r="K136">
            <v>1609</v>
          </cell>
          <cell r="L136">
            <v>303</v>
          </cell>
          <cell r="M136">
            <v>165</v>
          </cell>
          <cell r="N136">
            <v>23</v>
          </cell>
          <cell r="O136">
            <v>0</v>
          </cell>
          <cell r="P136">
            <v>0</v>
          </cell>
          <cell r="Q136">
            <v>22034</v>
          </cell>
        </row>
        <row r="137">
          <cell r="B137">
            <v>35</v>
          </cell>
          <cell r="C137">
            <v>75</v>
          </cell>
          <cell r="D137">
            <v>765</v>
          </cell>
          <cell r="E137">
            <v>30</v>
          </cell>
          <cell r="F137">
            <v>3437</v>
          </cell>
          <cell r="G137">
            <v>1849</v>
          </cell>
          <cell r="H137">
            <v>5236</v>
          </cell>
          <cell r="I137">
            <v>0</v>
          </cell>
          <cell r="J137">
            <v>8626</v>
          </cell>
          <cell r="K137">
            <v>1610</v>
          </cell>
          <cell r="L137">
            <v>296</v>
          </cell>
          <cell r="M137">
            <v>166</v>
          </cell>
          <cell r="N137">
            <v>30</v>
          </cell>
          <cell r="O137">
            <v>0</v>
          </cell>
          <cell r="P137">
            <v>0</v>
          </cell>
          <cell r="Q137">
            <v>22155</v>
          </cell>
        </row>
        <row r="138">
          <cell r="B138">
            <v>27</v>
          </cell>
          <cell r="C138">
            <v>75</v>
          </cell>
          <cell r="D138">
            <v>769</v>
          </cell>
          <cell r="E138">
            <v>27</v>
          </cell>
          <cell r="F138">
            <v>3544</v>
          </cell>
          <cell r="G138">
            <v>3146</v>
          </cell>
          <cell r="H138">
            <v>3985</v>
          </cell>
          <cell r="J138">
            <v>8644</v>
          </cell>
          <cell r="K138">
            <v>1670</v>
          </cell>
          <cell r="L138">
            <v>286</v>
          </cell>
          <cell r="M138">
            <v>157</v>
          </cell>
          <cell r="N138">
            <v>37</v>
          </cell>
          <cell r="Q138">
            <v>22367</v>
          </cell>
        </row>
        <row r="139">
          <cell r="B139">
            <v>28</v>
          </cell>
          <cell r="C139">
            <v>73</v>
          </cell>
          <cell r="D139">
            <v>747</v>
          </cell>
          <cell r="E139">
            <v>28</v>
          </cell>
          <cell r="F139">
            <v>3664</v>
          </cell>
          <cell r="G139">
            <v>2737</v>
          </cell>
          <cell r="H139">
            <v>4045</v>
          </cell>
          <cell r="J139">
            <v>8481</v>
          </cell>
          <cell r="K139">
            <v>1578</v>
          </cell>
          <cell r="L139">
            <v>281</v>
          </cell>
          <cell r="M139">
            <v>145</v>
          </cell>
          <cell r="N139">
            <v>32</v>
          </cell>
          <cell r="Q139">
            <v>21839</v>
          </cell>
        </row>
        <row r="140">
          <cell r="B140">
            <v>27</v>
          </cell>
          <cell r="C140">
            <v>70</v>
          </cell>
          <cell r="D140">
            <v>730</v>
          </cell>
          <cell r="E140">
            <v>25</v>
          </cell>
          <cell r="F140">
            <v>3759</v>
          </cell>
          <cell r="G140">
            <v>2235</v>
          </cell>
          <cell r="H140">
            <v>4343</v>
          </cell>
          <cell r="J140">
            <v>8434</v>
          </cell>
          <cell r="K140">
            <v>1585</v>
          </cell>
          <cell r="L140">
            <v>287</v>
          </cell>
          <cell r="M140">
            <v>144</v>
          </cell>
          <cell r="N140">
            <v>29</v>
          </cell>
          <cell r="Q140">
            <v>21668</v>
          </cell>
        </row>
        <row r="141">
          <cell r="B141">
            <v>28</v>
          </cell>
          <cell r="C141">
            <v>70</v>
          </cell>
          <cell r="D141">
            <v>729</v>
          </cell>
          <cell r="E141">
            <v>31</v>
          </cell>
          <cell r="F141">
            <v>3825</v>
          </cell>
          <cell r="G141">
            <v>1660</v>
          </cell>
          <cell r="H141">
            <v>4932</v>
          </cell>
          <cell r="J141">
            <v>8376</v>
          </cell>
          <cell r="K141">
            <v>1536</v>
          </cell>
          <cell r="L141">
            <v>286</v>
          </cell>
          <cell r="M141">
            <v>143</v>
          </cell>
          <cell r="N141">
            <v>26</v>
          </cell>
          <cell r="Q141">
            <v>21642</v>
          </cell>
        </row>
        <row r="192">
          <cell r="B192">
            <v>2501</v>
          </cell>
          <cell r="C192">
            <v>348</v>
          </cell>
          <cell r="D192">
            <v>169</v>
          </cell>
          <cell r="E192">
            <v>0</v>
          </cell>
          <cell r="F192">
            <v>0</v>
          </cell>
          <cell r="G192">
            <v>0</v>
          </cell>
          <cell r="H192">
            <v>0</v>
          </cell>
          <cell r="I192">
            <v>0</v>
          </cell>
          <cell r="J192">
            <v>0</v>
          </cell>
          <cell r="K192">
            <v>0</v>
          </cell>
          <cell r="L192">
            <v>0</v>
          </cell>
          <cell r="M192">
            <v>0</v>
          </cell>
          <cell r="N192">
            <v>0</v>
          </cell>
          <cell r="O192">
            <v>0</v>
          </cell>
          <cell r="P192">
            <v>0</v>
          </cell>
          <cell r="Q192">
            <v>3018</v>
          </cell>
        </row>
        <row r="193">
          <cell r="B193">
            <v>1041</v>
          </cell>
          <cell r="C193">
            <v>169</v>
          </cell>
          <cell r="D193">
            <v>105</v>
          </cell>
          <cell r="E193">
            <v>0</v>
          </cell>
          <cell r="F193">
            <v>0</v>
          </cell>
          <cell r="G193">
            <v>0</v>
          </cell>
          <cell r="H193">
            <v>0</v>
          </cell>
          <cell r="I193">
            <v>0</v>
          </cell>
          <cell r="J193">
            <v>1</v>
          </cell>
          <cell r="K193">
            <v>0</v>
          </cell>
          <cell r="L193">
            <v>0</v>
          </cell>
          <cell r="M193">
            <v>0</v>
          </cell>
          <cell r="N193">
            <v>0</v>
          </cell>
          <cell r="O193">
            <v>0</v>
          </cell>
          <cell r="P193">
            <v>0</v>
          </cell>
          <cell r="Q193">
            <v>1316</v>
          </cell>
        </row>
        <row r="194">
          <cell r="B194">
            <v>1221</v>
          </cell>
          <cell r="C194">
            <v>191</v>
          </cell>
          <cell r="D194">
            <v>118</v>
          </cell>
          <cell r="E194">
            <v>0</v>
          </cell>
          <cell r="F194">
            <v>0</v>
          </cell>
          <cell r="G194">
            <v>0</v>
          </cell>
          <cell r="H194">
            <v>1</v>
          </cell>
          <cell r="I194">
            <v>0</v>
          </cell>
          <cell r="J194">
            <v>0</v>
          </cell>
          <cell r="K194">
            <v>0</v>
          </cell>
          <cell r="L194">
            <v>0</v>
          </cell>
          <cell r="M194">
            <v>0</v>
          </cell>
          <cell r="N194">
            <v>0</v>
          </cell>
          <cell r="O194">
            <v>0</v>
          </cell>
          <cell r="P194">
            <v>0</v>
          </cell>
          <cell r="Q194">
            <v>1531</v>
          </cell>
        </row>
        <row r="195">
          <cell r="B195">
            <v>2313</v>
          </cell>
          <cell r="C195">
            <v>309</v>
          </cell>
          <cell r="D195">
            <v>157</v>
          </cell>
          <cell r="E195">
            <v>0</v>
          </cell>
          <cell r="F195">
            <v>0</v>
          </cell>
          <cell r="G195">
            <v>0</v>
          </cell>
          <cell r="H195">
            <v>0</v>
          </cell>
          <cell r="I195">
            <v>0</v>
          </cell>
          <cell r="J195">
            <v>0</v>
          </cell>
          <cell r="K195">
            <v>0</v>
          </cell>
          <cell r="L195">
            <v>0</v>
          </cell>
          <cell r="M195">
            <v>0</v>
          </cell>
          <cell r="N195">
            <v>0</v>
          </cell>
          <cell r="O195">
            <v>0</v>
          </cell>
          <cell r="P195">
            <v>0</v>
          </cell>
          <cell r="Q195">
            <v>2779</v>
          </cell>
        </row>
        <row r="196">
          <cell r="B196">
            <v>2494</v>
          </cell>
          <cell r="C196">
            <v>345</v>
          </cell>
          <cell r="D196">
            <v>164</v>
          </cell>
          <cell r="E196">
            <v>0</v>
          </cell>
          <cell r="F196">
            <v>0</v>
          </cell>
          <cell r="G196">
            <v>0</v>
          </cell>
          <cell r="H196">
            <v>0</v>
          </cell>
          <cell r="I196">
            <v>0</v>
          </cell>
          <cell r="J196">
            <v>0</v>
          </cell>
          <cell r="K196">
            <v>0</v>
          </cell>
          <cell r="L196">
            <v>0</v>
          </cell>
          <cell r="M196">
            <v>0</v>
          </cell>
          <cell r="N196">
            <v>0</v>
          </cell>
          <cell r="O196">
            <v>0</v>
          </cell>
          <cell r="P196">
            <v>0</v>
          </cell>
          <cell r="Q196">
            <v>3003</v>
          </cell>
        </row>
        <row r="197">
          <cell r="B197">
            <v>2497</v>
          </cell>
          <cell r="C197">
            <v>336</v>
          </cell>
          <cell r="D197">
            <v>157</v>
          </cell>
          <cell r="E197">
            <v>0</v>
          </cell>
          <cell r="F197">
            <v>0</v>
          </cell>
          <cell r="G197">
            <v>0</v>
          </cell>
          <cell r="H197">
            <v>0</v>
          </cell>
          <cell r="I197">
            <v>0</v>
          </cell>
          <cell r="J197">
            <v>0</v>
          </cell>
          <cell r="K197">
            <v>0</v>
          </cell>
          <cell r="L197">
            <v>0</v>
          </cell>
          <cell r="M197">
            <v>0</v>
          </cell>
          <cell r="N197">
            <v>0</v>
          </cell>
          <cell r="O197">
            <v>0</v>
          </cell>
          <cell r="P197">
            <v>0</v>
          </cell>
          <cell r="Q197">
            <v>2990</v>
          </cell>
        </row>
        <row r="198">
          <cell r="B198">
            <v>2628</v>
          </cell>
          <cell r="C198">
            <v>353</v>
          </cell>
          <cell r="D198">
            <v>170</v>
          </cell>
          <cell r="E198">
            <v>0</v>
          </cell>
          <cell r="F198">
            <v>0</v>
          </cell>
          <cell r="G198">
            <v>0</v>
          </cell>
          <cell r="H198">
            <v>0</v>
          </cell>
          <cell r="I198">
            <v>0</v>
          </cell>
          <cell r="J198">
            <v>0</v>
          </cell>
          <cell r="K198">
            <v>0</v>
          </cell>
          <cell r="L198">
            <v>0</v>
          </cell>
          <cell r="M198">
            <v>0</v>
          </cell>
          <cell r="N198">
            <v>0</v>
          </cell>
          <cell r="O198">
            <v>0</v>
          </cell>
          <cell r="P198">
            <v>1</v>
          </cell>
          <cell r="Q198">
            <v>3152</v>
          </cell>
        </row>
        <row r="199">
          <cell r="B199">
            <v>2589</v>
          </cell>
          <cell r="C199">
            <v>352</v>
          </cell>
          <cell r="D199">
            <v>165</v>
          </cell>
          <cell r="E199">
            <v>0</v>
          </cell>
          <cell r="F199">
            <v>0</v>
          </cell>
          <cell r="G199">
            <v>0</v>
          </cell>
          <cell r="H199">
            <v>0</v>
          </cell>
          <cell r="I199">
            <v>0</v>
          </cell>
          <cell r="J199">
            <v>0</v>
          </cell>
          <cell r="K199">
            <v>0</v>
          </cell>
          <cell r="L199">
            <v>0</v>
          </cell>
          <cell r="M199">
            <v>0</v>
          </cell>
          <cell r="N199">
            <v>0</v>
          </cell>
          <cell r="O199">
            <v>0</v>
          </cell>
          <cell r="P199">
            <v>0</v>
          </cell>
          <cell r="Q199">
            <v>3106</v>
          </cell>
        </row>
        <row r="200">
          <cell r="B200">
            <v>2904</v>
          </cell>
          <cell r="C200">
            <v>379</v>
          </cell>
          <cell r="D200">
            <v>200</v>
          </cell>
          <cell r="E200">
            <v>0</v>
          </cell>
          <cell r="F200">
            <v>0</v>
          </cell>
          <cell r="G200">
            <v>0</v>
          </cell>
          <cell r="H200">
            <v>0</v>
          </cell>
          <cell r="I200">
            <v>0</v>
          </cell>
          <cell r="J200">
            <v>0</v>
          </cell>
          <cell r="K200">
            <v>0</v>
          </cell>
          <cell r="L200">
            <v>0</v>
          </cell>
          <cell r="M200">
            <v>0</v>
          </cell>
          <cell r="N200">
            <v>0</v>
          </cell>
          <cell r="O200">
            <v>0</v>
          </cell>
          <cell r="P200">
            <v>0</v>
          </cell>
          <cell r="Q200">
            <v>3483</v>
          </cell>
        </row>
        <row r="201">
          <cell r="B201">
            <v>2949</v>
          </cell>
          <cell r="C201">
            <v>378</v>
          </cell>
          <cell r="D201">
            <v>203</v>
          </cell>
          <cell r="E201">
            <v>0</v>
          </cell>
          <cell r="F201">
            <v>0</v>
          </cell>
          <cell r="G201">
            <v>0</v>
          </cell>
          <cell r="H201">
            <v>0</v>
          </cell>
          <cell r="I201">
            <v>0</v>
          </cell>
          <cell r="J201">
            <v>0</v>
          </cell>
          <cell r="K201">
            <v>0</v>
          </cell>
          <cell r="L201">
            <v>0</v>
          </cell>
          <cell r="M201">
            <v>0</v>
          </cell>
          <cell r="N201">
            <v>0</v>
          </cell>
          <cell r="O201">
            <v>0</v>
          </cell>
          <cell r="P201">
            <v>0</v>
          </cell>
          <cell r="Q201">
            <v>3530</v>
          </cell>
        </row>
        <row r="202">
          <cell r="B202">
            <v>2957</v>
          </cell>
          <cell r="C202">
            <v>383</v>
          </cell>
          <cell r="D202">
            <v>198</v>
          </cell>
          <cell r="E202">
            <v>0</v>
          </cell>
          <cell r="F202">
            <v>0</v>
          </cell>
          <cell r="G202">
            <v>0</v>
          </cell>
          <cell r="H202">
            <v>0</v>
          </cell>
          <cell r="I202">
            <v>0</v>
          </cell>
          <cell r="J202">
            <v>0</v>
          </cell>
          <cell r="K202">
            <v>0</v>
          </cell>
          <cell r="L202">
            <v>0</v>
          </cell>
          <cell r="M202">
            <v>0</v>
          </cell>
          <cell r="N202">
            <v>0</v>
          </cell>
          <cell r="O202">
            <v>0</v>
          </cell>
          <cell r="P202">
            <v>0</v>
          </cell>
          <cell r="Q202">
            <v>3538</v>
          </cell>
        </row>
        <row r="203">
          <cell r="B203">
            <v>2947</v>
          </cell>
          <cell r="C203">
            <v>388</v>
          </cell>
          <cell r="D203">
            <v>203</v>
          </cell>
          <cell r="E203">
            <v>0</v>
          </cell>
          <cell r="F203">
            <v>0</v>
          </cell>
          <cell r="G203">
            <v>0</v>
          </cell>
          <cell r="H203">
            <v>0</v>
          </cell>
          <cell r="I203">
            <v>0</v>
          </cell>
          <cell r="J203">
            <v>0</v>
          </cell>
          <cell r="K203">
            <v>0</v>
          </cell>
          <cell r="L203">
            <v>0</v>
          </cell>
          <cell r="M203">
            <v>0</v>
          </cell>
          <cell r="N203">
            <v>0</v>
          </cell>
          <cell r="O203">
            <v>0</v>
          </cell>
          <cell r="P203">
            <v>0</v>
          </cell>
          <cell r="Q203">
            <v>3538</v>
          </cell>
        </row>
      </sheetData>
      <sheetData sheetId="2"/>
      <sheetData sheetId="3">
        <row r="90">
          <cell r="B90">
            <v>18857</v>
          </cell>
          <cell r="C90">
            <v>7311</v>
          </cell>
          <cell r="D90">
            <v>51193</v>
          </cell>
          <cell r="E90">
            <v>2365</v>
          </cell>
          <cell r="F90">
            <v>118404</v>
          </cell>
          <cell r="G90">
            <v>66299</v>
          </cell>
          <cell r="H90">
            <v>274332</v>
          </cell>
          <cell r="I90">
            <v>133</v>
          </cell>
          <cell r="J90">
            <v>380671</v>
          </cell>
          <cell r="K90">
            <v>52565</v>
          </cell>
          <cell r="L90">
            <v>16936</v>
          </cell>
          <cell r="M90">
            <v>8814</v>
          </cell>
          <cell r="N90">
            <v>1198</v>
          </cell>
          <cell r="O90">
            <v>0</v>
          </cell>
          <cell r="P90">
            <v>37</v>
          </cell>
          <cell r="Q90">
            <v>999115</v>
          </cell>
        </row>
        <row r="91">
          <cell r="B91">
            <v>19276</v>
          </cell>
          <cell r="C91">
            <v>7420</v>
          </cell>
          <cell r="D91">
            <v>51691</v>
          </cell>
          <cell r="E91">
            <v>2421</v>
          </cell>
          <cell r="F91">
            <v>117794</v>
          </cell>
          <cell r="G91">
            <v>65835</v>
          </cell>
          <cell r="H91">
            <v>277676</v>
          </cell>
          <cell r="I91">
            <v>128</v>
          </cell>
          <cell r="J91">
            <v>380130</v>
          </cell>
          <cell r="K91">
            <v>52989</v>
          </cell>
          <cell r="L91">
            <v>17000</v>
          </cell>
          <cell r="M91">
            <v>8839</v>
          </cell>
          <cell r="N91">
            <v>1205</v>
          </cell>
          <cell r="O91">
            <v>0</v>
          </cell>
          <cell r="P91">
            <v>38</v>
          </cell>
          <cell r="Q91">
            <v>1002442</v>
          </cell>
        </row>
        <row r="92">
          <cell r="B92">
            <v>19562</v>
          </cell>
          <cell r="C92">
            <v>7449</v>
          </cell>
          <cell r="D92">
            <v>51814</v>
          </cell>
          <cell r="E92">
            <v>2469</v>
          </cell>
          <cell r="F92">
            <v>117155</v>
          </cell>
          <cell r="G92">
            <v>65632</v>
          </cell>
          <cell r="H92">
            <v>285162</v>
          </cell>
          <cell r="I92">
            <v>124</v>
          </cell>
          <cell r="J92">
            <v>378867</v>
          </cell>
          <cell r="K92">
            <v>53104</v>
          </cell>
          <cell r="L92">
            <v>17087</v>
          </cell>
          <cell r="M92">
            <v>8590</v>
          </cell>
          <cell r="N92">
            <v>1132</v>
          </cell>
          <cell r="O92">
            <v>0</v>
          </cell>
          <cell r="P92">
            <v>19</v>
          </cell>
          <cell r="Q92">
            <v>1008166</v>
          </cell>
        </row>
        <row r="93">
          <cell r="B93">
            <v>19381</v>
          </cell>
          <cell r="C93">
            <v>7483</v>
          </cell>
          <cell r="D93">
            <v>51592</v>
          </cell>
          <cell r="E93">
            <v>2558</v>
          </cell>
          <cell r="F93">
            <v>117616</v>
          </cell>
          <cell r="G93">
            <v>62682</v>
          </cell>
          <cell r="H93">
            <v>282016</v>
          </cell>
          <cell r="I93">
            <v>122</v>
          </cell>
          <cell r="J93">
            <v>378127</v>
          </cell>
          <cell r="K93">
            <v>53055</v>
          </cell>
          <cell r="L93">
            <v>17131</v>
          </cell>
          <cell r="M93">
            <v>8300</v>
          </cell>
          <cell r="N93">
            <v>1127</v>
          </cell>
          <cell r="O93">
            <v>0</v>
          </cell>
          <cell r="P93">
            <v>25</v>
          </cell>
          <cell r="Q93">
            <v>1001215</v>
          </cell>
        </row>
        <row r="94">
          <cell r="B94">
            <v>19879</v>
          </cell>
          <cell r="C94">
            <v>7640</v>
          </cell>
          <cell r="D94">
            <v>51818</v>
          </cell>
          <cell r="E94">
            <v>2559</v>
          </cell>
          <cell r="F94">
            <v>121100</v>
          </cell>
          <cell r="G94">
            <v>64300</v>
          </cell>
          <cell r="H94">
            <v>284281</v>
          </cell>
          <cell r="I94">
            <v>119</v>
          </cell>
          <cell r="J94">
            <v>382017</v>
          </cell>
          <cell r="K94">
            <v>50353</v>
          </cell>
          <cell r="L94">
            <v>17215</v>
          </cell>
          <cell r="M94">
            <v>8326</v>
          </cell>
          <cell r="N94">
            <v>1113</v>
          </cell>
          <cell r="O94">
            <v>1</v>
          </cell>
          <cell r="P94">
            <v>27</v>
          </cell>
          <cell r="Q94">
            <v>1010748</v>
          </cell>
        </row>
        <row r="95">
          <cell r="B95">
            <v>19760</v>
          </cell>
          <cell r="C95">
            <v>7654</v>
          </cell>
          <cell r="D95">
            <v>51686</v>
          </cell>
          <cell r="E95">
            <v>2591</v>
          </cell>
          <cell r="F95">
            <v>121895</v>
          </cell>
          <cell r="G95">
            <v>64798</v>
          </cell>
          <cell r="H95">
            <v>286345</v>
          </cell>
          <cell r="I95">
            <v>117</v>
          </cell>
          <cell r="J95">
            <v>380067</v>
          </cell>
          <cell r="K95">
            <v>50775</v>
          </cell>
          <cell r="L95">
            <v>17269</v>
          </cell>
          <cell r="M95">
            <v>8034</v>
          </cell>
          <cell r="N95">
            <v>1090</v>
          </cell>
          <cell r="O95">
            <v>1</v>
          </cell>
          <cell r="P95">
            <v>25</v>
          </cell>
          <cell r="Q95">
            <v>1012107</v>
          </cell>
        </row>
        <row r="96">
          <cell r="B96">
            <v>19818</v>
          </cell>
          <cell r="C96">
            <v>7770</v>
          </cell>
          <cell r="D96">
            <v>51792</v>
          </cell>
          <cell r="E96">
            <v>2642</v>
          </cell>
          <cell r="F96">
            <v>122401</v>
          </cell>
          <cell r="G96">
            <v>60141</v>
          </cell>
          <cell r="H96">
            <v>283640</v>
          </cell>
          <cell r="I96">
            <v>113</v>
          </cell>
          <cell r="J96">
            <v>378246</v>
          </cell>
          <cell r="K96">
            <v>52280</v>
          </cell>
          <cell r="L96">
            <v>17242</v>
          </cell>
          <cell r="M96">
            <v>7839</v>
          </cell>
          <cell r="N96">
            <v>1083</v>
          </cell>
          <cell r="O96">
            <v>2</v>
          </cell>
          <cell r="P96">
            <v>24</v>
          </cell>
          <cell r="Q96">
            <v>1005033</v>
          </cell>
        </row>
        <row r="97">
          <cell r="B97">
            <v>20050</v>
          </cell>
          <cell r="C97">
            <v>7800</v>
          </cell>
          <cell r="D97">
            <v>51867</v>
          </cell>
          <cell r="E97">
            <v>2701</v>
          </cell>
          <cell r="F97">
            <v>124548</v>
          </cell>
          <cell r="G97">
            <v>60140</v>
          </cell>
          <cell r="H97">
            <v>286779</v>
          </cell>
          <cell r="I97">
            <v>110</v>
          </cell>
          <cell r="J97">
            <v>379659</v>
          </cell>
          <cell r="K97">
            <v>52589</v>
          </cell>
          <cell r="L97">
            <v>17307</v>
          </cell>
          <cell r="M97">
            <v>7828</v>
          </cell>
          <cell r="N97">
            <v>1129</v>
          </cell>
          <cell r="O97">
            <v>40</v>
          </cell>
          <cell r="P97">
            <v>5</v>
          </cell>
          <cell r="Q97">
            <v>1012552</v>
          </cell>
        </row>
        <row r="98">
          <cell r="B98">
            <v>20295</v>
          </cell>
          <cell r="C98">
            <v>7848</v>
          </cell>
          <cell r="D98">
            <v>51768</v>
          </cell>
          <cell r="E98">
            <v>2907</v>
          </cell>
          <cell r="F98">
            <v>129860</v>
          </cell>
          <cell r="G98">
            <v>118188</v>
          </cell>
          <cell r="H98">
            <v>234069</v>
          </cell>
          <cell r="I98">
            <v>116</v>
          </cell>
          <cell r="J98">
            <v>381930</v>
          </cell>
          <cell r="K98">
            <v>54333</v>
          </cell>
          <cell r="L98">
            <v>17013</v>
          </cell>
          <cell r="M98">
            <v>8246</v>
          </cell>
          <cell r="N98">
            <v>1323</v>
          </cell>
          <cell r="O98">
            <v>0</v>
          </cell>
          <cell r="P98">
            <v>0</v>
          </cell>
          <cell r="Q98">
            <v>1027896</v>
          </cell>
        </row>
        <row r="99">
          <cell r="B99">
            <v>20600</v>
          </cell>
          <cell r="C99">
            <v>7833</v>
          </cell>
          <cell r="D99">
            <v>51198</v>
          </cell>
          <cell r="E99">
            <v>2829</v>
          </cell>
          <cell r="F99">
            <v>134977</v>
          </cell>
          <cell r="G99">
            <v>104384</v>
          </cell>
          <cell r="H99">
            <v>239382</v>
          </cell>
          <cell r="I99">
            <v>114</v>
          </cell>
          <cell r="J99">
            <v>377526</v>
          </cell>
          <cell r="K99">
            <v>53119</v>
          </cell>
          <cell r="L99">
            <v>16955</v>
          </cell>
          <cell r="M99">
            <v>7865</v>
          </cell>
          <cell r="N99">
            <v>1226</v>
          </cell>
          <cell r="O99">
            <v>0</v>
          </cell>
          <cell r="P99">
            <v>0</v>
          </cell>
          <cell r="Q99">
            <v>1018008</v>
          </cell>
        </row>
        <row r="100">
          <cell r="B100">
            <v>28293</v>
          </cell>
          <cell r="C100">
            <v>8543</v>
          </cell>
          <cell r="D100">
            <v>54389</v>
          </cell>
          <cell r="E100">
            <v>3725</v>
          </cell>
          <cell r="F100">
            <v>143107</v>
          </cell>
          <cell r="G100">
            <v>87266</v>
          </cell>
          <cell r="H100">
            <v>263917</v>
          </cell>
          <cell r="I100">
            <v>172</v>
          </cell>
          <cell r="J100">
            <v>381941</v>
          </cell>
          <cell r="K100">
            <v>54140</v>
          </cell>
          <cell r="L100">
            <v>18852</v>
          </cell>
          <cell r="M100">
            <v>8492</v>
          </cell>
          <cell r="N100">
            <v>1313</v>
          </cell>
          <cell r="O100">
            <v>0</v>
          </cell>
          <cell r="P100">
            <v>0</v>
          </cell>
          <cell r="Q100">
            <v>1054150</v>
          </cell>
        </row>
        <row r="101">
          <cell r="B101">
            <v>25958</v>
          </cell>
          <cell r="C101">
            <v>8422</v>
          </cell>
          <cell r="D101">
            <v>54714</v>
          </cell>
          <cell r="E101">
            <v>4236</v>
          </cell>
          <cell r="F101">
            <v>147653</v>
          </cell>
          <cell r="G101">
            <v>60333</v>
          </cell>
          <cell r="H101">
            <v>299405</v>
          </cell>
          <cell r="I101">
            <v>185</v>
          </cell>
          <cell r="J101">
            <v>383494</v>
          </cell>
          <cell r="K101">
            <v>53268</v>
          </cell>
          <cell r="L101">
            <v>19066</v>
          </cell>
          <cell r="M101">
            <v>8471</v>
          </cell>
          <cell r="N101">
            <v>1343</v>
          </cell>
          <cell r="O101">
            <v>1</v>
          </cell>
          <cell r="P101">
            <v>0</v>
          </cell>
          <cell r="Q101">
            <v>1066549</v>
          </cell>
        </row>
      </sheetData>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ds"/>
      <sheetName val="Prenatal"/>
      <sheetName val="Sheet3"/>
      <sheetName val="Per capitas FY 2010-11"/>
      <sheetName val="Estimated Dental"/>
      <sheetName val="Advocate letter response"/>
      <sheetName val="Sheet2"/>
    </sheetNames>
    <sheetDataSet>
      <sheetData sheetId="0">
        <row r="145">
          <cell r="K145">
            <v>59909</v>
          </cell>
          <cell r="N145">
            <v>0</v>
          </cell>
        </row>
        <row r="146">
          <cell r="N146">
            <v>0</v>
          </cell>
        </row>
        <row r="147">
          <cell r="N147">
            <v>0</v>
          </cell>
        </row>
        <row r="148">
          <cell r="N148">
            <v>0</v>
          </cell>
        </row>
        <row r="149">
          <cell r="N149">
            <v>0</v>
          </cell>
        </row>
        <row r="150">
          <cell r="N150">
            <v>0</v>
          </cell>
        </row>
        <row r="151">
          <cell r="N151">
            <v>0</v>
          </cell>
        </row>
        <row r="152">
          <cell r="N152">
            <v>0</v>
          </cell>
        </row>
        <row r="153">
          <cell r="N153">
            <v>0</v>
          </cell>
        </row>
        <row r="154">
          <cell r="N154">
            <v>0</v>
          </cell>
        </row>
        <row r="155">
          <cell r="N155">
            <v>600</v>
          </cell>
        </row>
        <row r="156">
          <cell r="N156">
            <v>1029</v>
          </cell>
        </row>
        <row r="158">
          <cell r="N158">
            <v>1511</v>
          </cell>
        </row>
        <row r="159">
          <cell r="N159">
            <v>2018</v>
          </cell>
        </row>
        <row r="160">
          <cell r="N160">
            <v>2505</v>
          </cell>
        </row>
        <row r="161">
          <cell r="N161">
            <v>2935</v>
          </cell>
        </row>
        <row r="162">
          <cell r="N162">
            <v>3342</v>
          </cell>
        </row>
        <row r="163">
          <cell r="N163">
            <v>3759</v>
          </cell>
        </row>
        <row r="164">
          <cell r="N164">
            <v>4316</v>
          </cell>
        </row>
        <row r="165">
          <cell r="N165">
            <v>4888</v>
          </cell>
        </row>
        <row r="166">
          <cell r="N166">
            <v>5358</v>
          </cell>
        </row>
        <row r="167">
          <cell r="N167">
            <v>5674</v>
          </cell>
        </row>
        <row r="168">
          <cell r="N168">
            <v>5872</v>
          </cell>
        </row>
        <row r="169">
          <cell r="N169">
            <v>6098</v>
          </cell>
        </row>
        <row r="171">
          <cell r="N171">
            <v>6320</v>
          </cell>
        </row>
        <row r="172">
          <cell r="N172">
            <v>6444</v>
          </cell>
        </row>
        <row r="173">
          <cell r="N173">
            <v>7275</v>
          </cell>
        </row>
        <row r="174">
          <cell r="N174">
            <v>8075</v>
          </cell>
        </row>
        <row r="175">
          <cell r="N175">
            <v>10493</v>
          </cell>
        </row>
        <row r="176">
          <cell r="N176">
            <v>12338</v>
          </cell>
        </row>
        <row r="177">
          <cell r="N177">
            <v>12985</v>
          </cell>
        </row>
        <row r="178">
          <cell r="N178">
            <v>13250</v>
          </cell>
        </row>
        <row r="179">
          <cell r="N179">
            <v>13774</v>
          </cell>
        </row>
        <row r="180">
          <cell r="N180">
            <v>13492</v>
          </cell>
        </row>
        <row r="181">
          <cell r="N181">
            <v>14169</v>
          </cell>
        </row>
        <row r="182">
          <cell r="N182">
            <v>13975</v>
          </cell>
        </row>
        <row r="184">
          <cell r="N184">
            <v>13731</v>
          </cell>
        </row>
        <row r="185">
          <cell r="N185">
            <v>14509</v>
          </cell>
        </row>
        <row r="186">
          <cell r="N186">
            <v>15267</v>
          </cell>
        </row>
        <row r="187">
          <cell r="N187">
            <v>14955</v>
          </cell>
        </row>
        <row r="188">
          <cell r="N188">
            <v>15289</v>
          </cell>
        </row>
        <row r="189">
          <cell r="N189">
            <v>16575</v>
          </cell>
        </row>
        <row r="190">
          <cell r="N190">
            <v>16159</v>
          </cell>
        </row>
        <row r="191">
          <cell r="N191">
            <v>16028</v>
          </cell>
        </row>
        <row r="192">
          <cell r="N192">
            <v>16337</v>
          </cell>
        </row>
        <row r="193">
          <cell r="N193">
            <v>16091</v>
          </cell>
        </row>
        <row r="194">
          <cell r="N194">
            <v>15914</v>
          </cell>
        </row>
        <row r="195">
          <cell r="N195">
            <v>16047</v>
          </cell>
        </row>
      </sheetData>
      <sheetData sheetId="1">
        <row r="90">
          <cell r="B90">
            <v>1389</v>
          </cell>
          <cell r="E90">
            <v>0</v>
          </cell>
        </row>
        <row r="91">
          <cell r="E91">
            <v>0</v>
          </cell>
        </row>
        <row r="92">
          <cell r="E92">
            <v>0</v>
          </cell>
        </row>
        <row r="93">
          <cell r="E93">
            <v>0</v>
          </cell>
        </row>
        <row r="94">
          <cell r="E94">
            <v>0</v>
          </cell>
        </row>
        <row r="95">
          <cell r="E95">
            <v>0</v>
          </cell>
        </row>
        <row r="96">
          <cell r="E96">
            <v>0</v>
          </cell>
        </row>
        <row r="97">
          <cell r="E97">
            <v>0</v>
          </cell>
        </row>
        <row r="98">
          <cell r="E98">
            <v>0</v>
          </cell>
        </row>
        <row r="99">
          <cell r="E99">
            <v>0</v>
          </cell>
        </row>
        <row r="100">
          <cell r="E100">
            <v>46</v>
          </cell>
        </row>
        <row r="101">
          <cell r="E101">
            <v>83</v>
          </cell>
        </row>
        <row r="103">
          <cell r="E103">
            <v>124</v>
          </cell>
        </row>
        <row r="104">
          <cell r="E104">
            <v>162</v>
          </cell>
        </row>
        <row r="105">
          <cell r="E105">
            <v>187</v>
          </cell>
        </row>
        <row r="106">
          <cell r="E106">
            <v>206</v>
          </cell>
        </row>
        <row r="107">
          <cell r="E107">
            <v>228</v>
          </cell>
        </row>
        <row r="108">
          <cell r="E108">
            <v>270</v>
          </cell>
        </row>
        <row r="109">
          <cell r="E109">
            <v>325</v>
          </cell>
        </row>
        <row r="110">
          <cell r="E110">
            <v>357</v>
          </cell>
        </row>
        <row r="111">
          <cell r="E111">
            <v>361</v>
          </cell>
        </row>
        <row r="112">
          <cell r="E112">
            <v>355</v>
          </cell>
        </row>
        <row r="113">
          <cell r="E113">
            <v>342</v>
          </cell>
        </row>
        <row r="114">
          <cell r="E114">
            <v>349</v>
          </cell>
        </row>
        <row r="116">
          <cell r="E116">
            <v>357</v>
          </cell>
        </row>
        <row r="117">
          <cell r="E117">
            <v>355</v>
          </cell>
        </row>
        <row r="118">
          <cell r="E118">
            <v>377</v>
          </cell>
        </row>
        <row r="119">
          <cell r="E119">
            <v>375</v>
          </cell>
        </row>
        <row r="120">
          <cell r="E120">
            <v>451</v>
          </cell>
        </row>
        <row r="121">
          <cell r="E121">
            <v>487</v>
          </cell>
        </row>
        <row r="122">
          <cell r="E122">
            <v>498</v>
          </cell>
        </row>
        <row r="123">
          <cell r="E123">
            <v>494</v>
          </cell>
        </row>
        <row r="124">
          <cell r="E124">
            <v>525</v>
          </cell>
        </row>
        <row r="125">
          <cell r="E125">
            <v>494</v>
          </cell>
        </row>
        <row r="126">
          <cell r="E126">
            <v>494</v>
          </cell>
        </row>
        <row r="127">
          <cell r="E127">
            <v>466</v>
          </cell>
        </row>
        <row r="129">
          <cell r="E129">
            <v>452</v>
          </cell>
        </row>
        <row r="130">
          <cell r="E130">
            <v>459</v>
          </cell>
        </row>
        <row r="131">
          <cell r="E131">
            <v>482</v>
          </cell>
        </row>
        <row r="132">
          <cell r="E132">
            <v>470</v>
          </cell>
        </row>
        <row r="133">
          <cell r="E133">
            <v>498</v>
          </cell>
        </row>
        <row r="134">
          <cell r="E134">
            <v>550</v>
          </cell>
        </row>
        <row r="135">
          <cell r="E135">
            <v>504</v>
          </cell>
        </row>
        <row r="136">
          <cell r="E136">
            <v>451</v>
          </cell>
        </row>
        <row r="137">
          <cell r="E137">
            <v>442</v>
          </cell>
        </row>
        <row r="138">
          <cell r="E138">
            <v>435</v>
          </cell>
        </row>
        <row r="139">
          <cell r="E139">
            <v>417</v>
          </cell>
        </row>
        <row r="140">
          <cell r="E140">
            <v>399</v>
          </cell>
        </row>
      </sheetData>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ds"/>
      <sheetName val="Prenatal"/>
      <sheetName val="For JBC Report"/>
      <sheetName val="Sheet3"/>
      <sheetName val="Per capitas FY 2010-11"/>
      <sheetName val="Estimated Dental"/>
      <sheetName val="Advocate letter response"/>
    </sheetNames>
    <sheetDataSet>
      <sheetData sheetId="0">
        <row r="197">
          <cell r="D197">
            <v>1665</v>
          </cell>
          <cell r="E197">
            <v>15933</v>
          </cell>
        </row>
        <row r="198">
          <cell r="E198">
            <v>17642</v>
          </cell>
        </row>
        <row r="199">
          <cell r="E199">
            <v>16564</v>
          </cell>
        </row>
        <row r="200">
          <cell r="E200">
            <v>20972</v>
          </cell>
        </row>
        <row r="201">
          <cell r="E201">
            <v>19542</v>
          </cell>
        </row>
        <row r="202">
          <cell r="E202">
            <v>20376</v>
          </cell>
        </row>
      </sheetData>
      <sheetData sheetId="1">
        <row r="142">
          <cell r="B142">
            <v>706</v>
          </cell>
          <cell r="E142">
            <v>354</v>
          </cell>
        </row>
        <row r="143">
          <cell r="E143">
            <v>393</v>
          </cell>
        </row>
        <row r="144">
          <cell r="E144">
            <v>385</v>
          </cell>
        </row>
        <row r="145">
          <cell r="E145">
            <v>533</v>
          </cell>
        </row>
        <row r="146">
          <cell r="E146">
            <v>534</v>
          </cell>
        </row>
        <row r="147">
          <cell r="E147">
            <v>540</v>
          </cell>
        </row>
      </sheetData>
      <sheetData sheetId="2">
        <row r="93">
          <cell r="E93">
            <v>17496</v>
          </cell>
          <cell r="I93">
            <v>460</v>
          </cell>
        </row>
        <row r="94">
          <cell r="E94">
            <v>19106</v>
          </cell>
          <cell r="I94">
            <v>496</v>
          </cell>
        </row>
        <row r="95">
          <cell r="E95">
            <v>18350</v>
          </cell>
          <cell r="I95">
            <v>488</v>
          </cell>
        </row>
        <row r="96">
          <cell r="E96">
            <v>16449</v>
          </cell>
          <cell r="I96">
            <v>457</v>
          </cell>
        </row>
        <row r="97">
          <cell r="E97">
            <v>16027</v>
          </cell>
          <cell r="I97">
            <v>455</v>
          </cell>
        </row>
        <row r="98">
          <cell r="E98">
            <v>15851</v>
          </cell>
          <cell r="I98">
            <v>446</v>
          </cell>
        </row>
        <row r="99">
          <cell r="E99">
            <v>15780</v>
          </cell>
          <cell r="I99">
            <v>478</v>
          </cell>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2)"/>
      <sheetName val="Exhibit"/>
      <sheetName val="Pivot-Dollars"/>
      <sheetName val="Data-Dollars"/>
      <sheetName val="Pivot-Clients"/>
      <sheetName val="Data-Clients"/>
      <sheetName val="Pivot-Dollars16"/>
      <sheetName val="Sheet5"/>
      <sheetName val="Data-Dollars16"/>
      <sheetName val="Data-Clients16"/>
      <sheetName val="SQL-NNE Adjust (QTLY)"/>
      <sheetName val="SQL-MONTHLY"/>
    </sheetNames>
    <sheetDataSet>
      <sheetData sheetId="0"/>
      <sheetData sheetId="1">
        <row r="4">
          <cell r="K4">
            <v>4608875.58</v>
          </cell>
          <cell r="L4">
            <v>8275700.4000000004</v>
          </cell>
          <cell r="M4">
            <v>9576439.0700000022</v>
          </cell>
          <cell r="N4">
            <v>12204044.729999999</v>
          </cell>
          <cell r="O4">
            <v>9470911.6600000001</v>
          </cell>
          <cell r="P4">
            <v>13799106.719999999</v>
          </cell>
          <cell r="Q4">
            <v>57935078.159999996</v>
          </cell>
        </row>
        <row r="5">
          <cell r="K5">
            <v>1270.6199999999999</v>
          </cell>
          <cell r="L5">
            <v>4689.99</v>
          </cell>
          <cell r="M5">
            <v>11120.67</v>
          </cell>
          <cell r="N5">
            <v>12772.1</v>
          </cell>
          <cell r="O5">
            <v>7778.6</v>
          </cell>
          <cell r="P5">
            <v>9347.32</v>
          </cell>
          <cell r="Q5">
            <v>46979.299999999996</v>
          </cell>
        </row>
        <row r="6">
          <cell r="K6">
            <v>0</v>
          </cell>
          <cell r="L6">
            <v>0</v>
          </cell>
          <cell r="M6">
            <v>0</v>
          </cell>
          <cell r="N6">
            <v>0</v>
          </cell>
          <cell r="O6">
            <v>0</v>
          </cell>
          <cell r="P6">
            <v>0</v>
          </cell>
          <cell r="Q6">
            <v>0</v>
          </cell>
        </row>
        <row r="7">
          <cell r="K7">
            <v>323992.44</v>
          </cell>
          <cell r="L7">
            <v>310333.81</v>
          </cell>
          <cell r="M7">
            <v>334712.8</v>
          </cell>
          <cell r="N7">
            <v>361267.98</v>
          </cell>
          <cell r="O7">
            <v>361084.46</v>
          </cell>
          <cell r="P7">
            <v>409296.9</v>
          </cell>
          <cell r="Q7">
            <v>2100688.39</v>
          </cell>
        </row>
        <row r="8">
          <cell r="Q8">
            <v>0</v>
          </cell>
        </row>
        <row r="9">
          <cell r="Q9">
            <v>60082745.849999994</v>
          </cell>
        </row>
        <row r="10">
          <cell r="K10">
            <v>0</v>
          </cell>
          <cell r="L10">
            <v>0</v>
          </cell>
          <cell r="M10">
            <v>0</v>
          </cell>
          <cell r="N10">
            <v>0</v>
          </cell>
          <cell r="O10">
            <v>0</v>
          </cell>
          <cell r="P10">
            <v>0</v>
          </cell>
          <cell r="Q10">
            <v>0</v>
          </cell>
        </row>
        <row r="11">
          <cell r="K11">
            <v>0</v>
          </cell>
          <cell r="L11">
            <v>0</v>
          </cell>
          <cell r="M11">
            <v>394.5</v>
          </cell>
          <cell r="N11">
            <v>0</v>
          </cell>
          <cell r="O11">
            <v>0</v>
          </cell>
          <cell r="P11">
            <v>52.28</v>
          </cell>
          <cell r="Q11">
            <v>446.78</v>
          </cell>
        </row>
        <row r="12">
          <cell r="Q12">
            <v>60083192.629999995</v>
          </cell>
        </row>
        <row r="13">
          <cell r="K13">
            <v>38413</v>
          </cell>
          <cell r="L13">
            <v>40465</v>
          </cell>
          <cell r="M13">
            <v>44348</v>
          </cell>
          <cell r="N13">
            <v>47215</v>
          </cell>
          <cell r="O13">
            <v>48526</v>
          </cell>
          <cell r="P13">
            <v>51279</v>
          </cell>
          <cell r="Q13">
            <v>45041</v>
          </cell>
        </row>
        <row r="14">
          <cell r="K14">
            <v>128.44970817171273</v>
          </cell>
          <cell r="L14">
            <v>212.30011614975908</v>
          </cell>
          <cell r="M14">
            <v>223.74553621358353</v>
          </cell>
          <cell r="N14">
            <v>266.40018659324363</v>
          </cell>
          <cell r="O14">
            <v>202.77324980422867</v>
          </cell>
          <cell r="P14">
            <v>277.26365997776867</v>
          </cell>
          <cell r="Q14">
            <v>1333.96666659266</v>
          </cell>
        </row>
        <row r="15">
          <cell r="K15">
            <v>11457167.18</v>
          </cell>
          <cell r="L15">
            <v>31284953.710000005</v>
          </cell>
          <cell r="M15">
            <v>42431585.569999993</v>
          </cell>
          <cell r="N15">
            <v>61804746.140000001</v>
          </cell>
          <cell r="O15">
            <v>50688450.969999999</v>
          </cell>
          <cell r="P15">
            <v>72888903.719999984</v>
          </cell>
          <cell r="Q15">
            <v>270555807.28999996</v>
          </cell>
        </row>
        <row r="16">
          <cell r="K16">
            <v>2922.01</v>
          </cell>
          <cell r="L16">
            <v>117029.5</v>
          </cell>
          <cell r="M16">
            <v>106569.28</v>
          </cell>
          <cell r="N16">
            <v>244856.18000000002</v>
          </cell>
          <cell r="O16">
            <v>185379.5</v>
          </cell>
          <cell r="P16">
            <v>190215.86000000002</v>
          </cell>
          <cell r="Q16">
            <v>846972.33</v>
          </cell>
        </row>
        <row r="17">
          <cell r="K17">
            <v>19586.48</v>
          </cell>
          <cell r="L17">
            <v>37637.730000000003</v>
          </cell>
          <cell r="M17">
            <v>67601.39</v>
          </cell>
          <cell r="N17">
            <v>107855.37</v>
          </cell>
          <cell r="O17">
            <v>66138.33</v>
          </cell>
          <cell r="P17">
            <v>109977.88</v>
          </cell>
          <cell r="Q17">
            <v>408797.18</v>
          </cell>
        </row>
        <row r="18">
          <cell r="K18">
            <v>662801.59</v>
          </cell>
          <cell r="L18">
            <v>642036.63</v>
          </cell>
          <cell r="M18">
            <v>616427.04</v>
          </cell>
          <cell r="N18">
            <v>763576.75</v>
          </cell>
          <cell r="O18">
            <v>925348.75</v>
          </cell>
          <cell r="P18">
            <v>1137891.22</v>
          </cell>
          <cell r="Q18">
            <v>4748081.9799999995</v>
          </cell>
        </row>
        <row r="19">
          <cell r="Q19">
            <v>0</v>
          </cell>
        </row>
        <row r="20">
          <cell r="Q20">
            <v>276559658.77999997</v>
          </cell>
        </row>
        <row r="21">
          <cell r="K21">
            <v>0</v>
          </cell>
          <cell r="L21">
            <v>0</v>
          </cell>
          <cell r="M21">
            <v>0</v>
          </cell>
          <cell r="N21">
            <v>0</v>
          </cell>
          <cell r="O21">
            <v>0</v>
          </cell>
          <cell r="P21">
            <v>0</v>
          </cell>
          <cell r="Q21">
            <v>0</v>
          </cell>
        </row>
        <row r="22">
          <cell r="K22">
            <v>4944.5200000000004</v>
          </cell>
          <cell r="L22">
            <v>15261.19</v>
          </cell>
          <cell r="M22">
            <v>29370.18</v>
          </cell>
          <cell r="N22">
            <v>39866.51</v>
          </cell>
          <cell r="O22">
            <v>72776.710000000006</v>
          </cell>
          <cell r="P22">
            <v>97462.63</v>
          </cell>
          <cell r="Q22">
            <v>259681.74</v>
          </cell>
        </row>
        <row r="23">
          <cell r="Q23">
            <v>276819340.51999998</v>
          </cell>
        </row>
        <row r="24">
          <cell r="K24">
            <v>75174</v>
          </cell>
          <cell r="L24">
            <v>82124</v>
          </cell>
          <cell r="M24">
            <v>91371</v>
          </cell>
          <cell r="N24">
            <v>114290</v>
          </cell>
          <cell r="O24">
            <v>126063</v>
          </cell>
          <cell r="P24">
            <v>144174</v>
          </cell>
          <cell r="Q24">
            <v>105532.66666666667</v>
          </cell>
        </row>
        <row r="25">
          <cell r="K25">
            <v>161.59073323223453</v>
          </cell>
          <cell r="L25">
            <v>390.83482002825002</v>
          </cell>
          <cell r="M25">
            <v>473.36193606286452</v>
          </cell>
          <cell r="N25">
            <v>550.8872250415609</v>
          </cell>
          <cell r="O25">
            <v>412.00109675321067</v>
          </cell>
          <cell r="P25">
            <v>516.21271040548208</v>
          </cell>
          <cell r="Q25">
            <v>2623.0678069981486</v>
          </cell>
        </row>
        <row r="26">
          <cell r="K26">
            <v>16066042.76</v>
          </cell>
          <cell r="L26">
            <v>39560654.110000007</v>
          </cell>
          <cell r="M26">
            <v>52008024.639999993</v>
          </cell>
          <cell r="N26">
            <v>74008790.870000005</v>
          </cell>
          <cell r="O26">
            <v>60159362.629999995</v>
          </cell>
          <cell r="P26">
            <v>86688010.439999983</v>
          </cell>
          <cell r="Q26">
            <v>328490885.44999999</v>
          </cell>
        </row>
        <row r="27">
          <cell r="K27">
            <v>4192.63</v>
          </cell>
          <cell r="L27">
            <v>121719.49</v>
          </cell>
          <cell r="M27">
            <v>117689.95</v>
          </cell>
          <cell r="N27">
            <v>257628.28000000003</v>
          </cell>
          <cell r="O27">
            <v>193158.1</v>
          </cell>
          <cell r="P27">
            <v>199563.18000000002</v>
          </cell>
          <cell r="Q27">
            <v>893951.63000000012</v>
          </cell>
        </row>
        <row r="28">
          <cell r="K28">
            <v>19586.48</v>
          </cell>
          <cell r="L28">
            <v>37637.730000000003</v>
          </cell>
          <cell r="M28">
            <v>67601.39</v>
          </cell>
          <cell r="N28">
            <v>107855.37</v>
          </cell>
          <cell r="O28">
            <v>66138.33</v>
          </cell>
          <cell r="P28">
            <v>109977.88</v>
          </cell>
          <cell r="Q28">
            <v>408797.18</v>
          </cell>
        </row>
        <row r="29">
          <cell r="K29">
            <v>986794.03</v>
          </cell>
          <cell r="L29">
            <v>952370.44</v>
          </cell>
          <cell r="M29">
            <v>951139.84000000008</v>
          </cell>
          <cell r="N29">
            <v>1124844.73</v>
          </cell>
          <cell r="O29">
            <v>1286433.21</v>
          </cell>
          <cell r="P29">
            <v>1547188.12</v>
          </cell>
          <cell r="Q29">
            <v>6848770.3700000001</v>
          </cell>
        </row>
        <row r="30">
          <cell r="Q30">
            <v>0</v>
          </cell>
        </row>
        <row r="31">
          <cell r="Q31">
            <v>336642404.63</v>
          </cell>
        </row>
        <row r="32">
          <cell r="K32">
            <v>0</v>
          </cell>
          <cell r="L32">
            <v>0</v>
          </cell>
          <cell r="M32">
            <v>0</v>
          </cell>
          <cell r="N32">
            <v>0</v>
          </cell>
          <cell r="O32">
            <v>0</v>
          </cell>
          <cell r="P32">
            <v>0</v>
          </cell>
          <cell r="Q32">
            <v>0</v>
          </cell>
        </row>
        <row r="33">
          <cell r="K33">
            <v>4944.5200000000004</v>
          </cell>
          <cell r="L33">
            <v>15261.19</v>
          </cell>
          <cell r="M33">
            <v>29764.68</v>
          </cell>
          <cell r="N33">
            <v>39866.51</v>
          </cell>
          <cell r="O33">
            <v>72776.710000000006</v>
          </cell>
          <cell r="P33">
            <v>97514.91</v>
          </cell>
          <cell r="Q33">
            <v>260128.52</v>
          </cell>
        </row>
        <row r="34">
          <cell r="Q34">
            <v>336902533.14999998</v>
          </cell>
        </row>
        <row r="35">
          <cell r="K35">
            <v>113587</v>
          </cell>
          <cell r="L35">
            <v>122589</v>
          </cell>
          <cell r="M35">
            <v>135719</v>
          </cell>
          <cell r="N35">
            <v>161505</v>
          </cell>
          <cell r="O35">
            <v>174589</v>
          </cell>
          <cell r="P35">
            <v>195453</v>
          </cell>
          <cell r="Q35">
            <v>150573.66666666666</v>
          </cell>
        </row>
        <row r="36">
          <cell r="K36">
            <v>150.38305809643711</v>
          </cell>
          <cell r="L36">
            <v>331.90288655589001</v>
          </cell>
          <cell r="M36">
            <v>391.79643601853832</v>
          </cell>
          <cell r="N36">
            <v>467.71917748676526</v>
          </cell>
          <cell r="O36">
            <v>353.84743013591918</v>
          </cell>
          <cell r="P36">
            <v>453.52209753751532</v>
          </cell>
          <cell r="Q36">
            <v>2237.4598467859587</v>
          </cell>
        </row>
        <row r="43">
          <cell r="E43">
            <v>10521204.800000001</v>
          </cell>
          <cell r="F43">
            <v>11585142.010000002</v>
          </cell>
          <cell r="G43">
            <v>15624406.999999998</v>
          </cell>
          <cell r="H43">
            <v>12583815.389999999</v>
          </cell>
          <cell r="I43">
            <v>14215137.32</v>
          </cell>
          <cell r="J43">
            <v>16876867.440000001</v>
          </cell>
          <cell r="K43">
            <v>14920688.179999998</v>
          </cell>
          <cell r="L43">
            <v>16324691.770000001</v>
          </cell>
          <cell r="M43">
            <v>19481027.319999997</v>
          </cell>
          <cell r="N43">
            <v>14121506.749999998</v>
          </cell>
          <cell r="O43">
            <v>10832232</v>
          </cell>
          <cell r="P43">
            <v>8338166.6699999981</v>
          </cell>
          <cell r="Q43">
            <v>165424886.64999998</v>
          </cell>
        </row>
        <row r="44">
          <cell r="E44">
            <v>23031.040000000001</v>
          </cell>
          <cell r="F44">
            <v>17529.3</v>
          </cell>
          <cell r="G44">
            <v>10896.75</v>
          </cell>
          <cell r="H44">
            <v>8885.0499999999993</v>
          </cell>
          <cell r="I44">
            <v>11632.64</v>
          </cell>
          <cell r="J44">
            <v>39414.019999999997</v>
          </cell>
          <cell r="K44">
            <v>18382.77</v>
          </cell>
          <cell r="L44">
            <v>18988.990000000002</v>
          </cell>
          <cell r="M44">
            <v>26793.01</v>
          </cell>
          <cell r="N44">
            <v>13480.17</v>
          </cell>
          <cell r="O44">
            <v>5047.38</v>
          </cell>
          <cell r="P44">
            <v>3560.06</v>
          </cell>
          <cell r="Q44">
            <v>197641.18000000002</v>
          </cell>
        </row>
        <row r="45">
          <cell r="E45">
            <v>0</v>
          </cell>
          <cell r="F45">
            <v>0</v>
          </cell>
          <cell r="G45">
            <v>0</v>
          </cell>
          <cell r="H45">
            <v>0</v>
          </cell>
          <cell r="I45">
            <v>3208.66</v>
          </cell>
          <cell r="J45">
            <v>3419.68</v>
          </cell>
          <cell r="K45">
            <v>3208.66</v>
          </cell>
          <cell r="L45">
            <v>1377.34</v>
          </cell>
          <cell r="M45">
            <v>17303.490000000002</v>
          </cell>
          <cell r="N45">
            <v>5343.75</v>
          </cell>
          <cell r="O45">
            <v>6648.57</v>
          </cell>
          <cell r="P45">
            <v>0</v>
          </cell>
          <cell r="Q45">
            <v>40510.15</v>
          </cell>
        </row>
        <row r="46">
          <cell r="E46">
            <v>446344.44</v>
          </cell>
          <cell r="F46">
            <v>450337.01</v>
          </cell>
          <cell r="G46">
            <v>524404.22</v>
          </cell>
          <cell r="H46">
            <v>488971.95</v>
          </cell>
          <cell r="I46">
            <v>500374.87</v>
          </cell>
          <cell r="J46">
            <v>493332.96</v>
          </cell>
          <cell r="K46">
            <v>482464.63</v>
          </cell>
          <cell r="L46">
            <v>502387.01</v>
          </cell>
          <cell r="M46">
            <v>519291.09</v>
          </cell>
          <cell r="N46">
            <v>489246.82</v>
          </cell>
          <cell r="O46">
            <v>380141.69</v>
          </cell>
          <cell r="P46">
            <v>311797.59000000003</v>
          </cell>
          <cell r="Q46">
            <v>5589094.2800000003</v>
          </cell>
        </row>
        <row r="47">
          <cell r="Q47">
            <v>0</v>
          </cell>
        </row>
        <row r="48">
          <cell r="Q48">
            <v>171252132.25999999</v>
          </cell>
        </row>
        <row r="49">
          <cell r="E49">
            <v>232727.94</v>
          </cell>
          <cell r="F49">
            <v>132988.91</v>
          </cell>
          <cell r="G49">
            <v>47831.03</v>
          </cell>
          <cell r="H49">
            <v>0</v>
          </cell>
          <cell r="I49">
            <v>0</v>
          </cell>
          <cell r="J49">
            <v>0</v>
          </cell>
          <cell r="K49">
            <v>0</v>
          </cell>
          <cell r="L49">
            <v>0</v>
          </cell>
          <cell r="M49">
            <v>-4241.03</v>
          </cell>
          <cell r="N49">
            <v>0</v>
          </cell>
          <cell r="O49">
            <v>0</v>
          </cell>
          <cell r="P49">
            <v>-120.42</v>
          </cell>
          <cell r="Q49">
            <v>409186.43</v>
          </cell>
        </row>
        <row r="50">
          <cell r="E50">
            <v>360</v>
          </cell>
          <cell r="F50">
            <v>0</v>
          </cell>
          <cell r="G50">
            <v>4636.32</v>
          </cell>
          <cell r="H50">
            <v>400</v>
          </cell>
          <cell r="I50">
            <v>2434.16</v>
          </cell>
          <cell r="J50">
            <v>4737.3599999999997</v>
          </cell>
          <cell r="K50">
            <v>3463.2</v>
          </cell>
          <cell r="L50">
            <v>2866.95</v>
          </cell>
          <cell r="M50">
            <v>3411.72</v>
          </cell>
          <cell r="N50">
            <v>3676.01</v>
          </cell>
          <cell r="O50">
            <v>18270.759999999998</v>
          </cell>
          <cell r="P50">
            <v>3199.88</v>
          </cell>
          <cell r="Q50">
            <v>47456.359999999993</v>
          </cell>
        </row>
        <row r="51">
          <cell r="Q51">
            <v>171708775.05000001</v>
          </cell>
        </row>
        <row r="52">
          <cell r="E52">
            <v>57057</v>
          </cell>
          <cell r="F52">
            <v>57086</v>
          </cell>
          <cell r="G52">
            <v>60380</v>
          </cell>
          <cell r="H52">
            <v>60321</v>
          </cell>
          <cell r="I52">
            <v>65052</v>
          </cell>
          <cell r="J52">
            <v>68416</v>
          </cell>
          <cell r="K52">
            <v>65196</v>
          </cell>
          <cell r="L52">
            <v>73234</v>
          </cell>
          <cell r="M52">
            <v>72226</v>
          </cell>
          <cell r="N52">
            <v>63800</v>
          </cell>
          <cell r="O52">
            <v>50488</v>
          </cell>
          <cell r="P52">
            <v>63482</v>
          </cell>
          <cell r="Q52">
            <v>63061.5</v>
          </cell>
        </row>
        <row r="53">
          <cell r="E53">
            <v>196.70975024975021</v>
          </cell>
          <cell r="F53">
            <v>213.46735153978213</v>
          </cell>
          <cell r="G53">
            <v>268.50240675720437</v>
          </cell>
          <cell r="H53">
            <v>216.87426252880422</v>
          </cell>
          <cell r="I53">
            <v>226.47708986656829</v>
          </cell>
          <cell r="J53">
            <v>254.58622924462117</v>
          </cell>
          <cell r="K53">
            <v>236.64346647033557</v>
          </cell>
          <cell r="L53">
            <v>230.08864816888334</v>
          </cell>
          <cell r="M53">
            <v>277.5120538310303</v>
          </cell>
          <cell r="N53">
            <v>229.36134012539182</v>
          </cell>
          <cell r="O53">
            <v>222.67351449849471</v>
          </cell>
          <cell r="P53">
            <v>136.36312309000976</v>
          </cell>
          <cell r="Q53">
            <v>2722.8780642705933</v>
          </cell>
        </row>
        <row r="54">
          <cell r="E54">
            <v>56430010.25</v>
          </cell>
          <cell r="F54">
            <v>62761944.829999991</v>
          </cell>
          <cell r="G54">
            <v>81075480.409999996</v>
          </cell>
          <cell r="H54">
            <v>62411649.480000012</v>
          </cell>
          <cell r="I54">
            <v>71194220.799999997</v>
          </cell>
          <cell r="J54">
            <v>83632427.960000008</v>
          </cell>
          <cell r="K54">
            <v>73653258.140000001</v>
          </cell>
          <cell r="L54">
            <v>82350182.660000026</v>
          </cell>
          <cell r="M54">
            <v>99473678.299999997</v>
          </cell>
          <cell r="N54">
            <v>84240550.25999999</v>
          </cell>
          <cell r="O54">
            <v>93655776.040000007</v>
          </cell>
          <cell r="P54">
            <v>120756203.25999999</v>
          </cell>
          <cell r="Q54">
            <v>971635382.38999987</v>
          </cell>
        </row>
        <row r="55">
          <cell r="E55">
            <v>189936.38</v>
          </cell>
          <cell r="F55">
            <v>150435.92000000001</v>
          </cell>
          <cell r="G55">
            <v>246471.26</v>
          </cell>
          <cell r="H55">
            <v>229524.43999999997</v>
          </cell>
          <cell r="I55">
            <v>188685.4</v>
          </cell>
          <cell r="J55">
            <v>215599.18</v>
          </cell>
          <cell r="K55">
            <v>234261.79</v>
          </cell>
          <cell r="L55">
            <v>197098.47</v>
          </cell>
          <cell r="M55">
            <v>264124.79999999999</v>
          </cell>
          <cell r="N55">
            <v>284300.26</v>
          </cell>
          <cell r="O55">
            <v>250403.5</v>
          </cell>
          <cell r="P55">
            <v>294829.24</v>
          </cell>
          <cell r="Q55">
            <v>2745670.6400000006</v>
          </cell>
        </row>
        <row r="56">
          <cell r="E56">
            <v>101087.55</v>
          </cell>
          <cell r="F56">
            <v>79024.789999999994</v>
          </cell>
          <cell r="G56">
            <v>117758.34</v>
          </cell>
          <cell r="H56">
            <v>162896.26999999999</v>
          </cell>
          <cell r="I56">
            <v>141408.59</v>
          </cell>
          <cell r="J56">
            <v>119792.31</v>
          </cell>
          <cell r="K56">
            <v>185185.92000000001</v>
          </cell>
          <cell r="L56">
            <v>147677.29</v>
          </cell>
          <cell r="M56">
            <v>120704.03</v>
          </cell>
          <cell r="N56">
            <v>99615.2</v>
          </cell>
          <cell r="O56">
            <v>76993.06</v>
          </cell>
          <cell r="P56">
            <v>214626.49</v>
          </cell>
          <cell r="Q56">
            <v>1566769.8399999999</v>
          </cell>
        </row>
        <row r="57">
          <cell r="E57">
            <v>1321931.1399999999</v>
          </cell>
          <cell r="F57">
            <v>1389322.21</v>
          </cell>
          <cell r="G57">
            <v>1538203.32</v>
          </cell>
          <cell r="H57">
            <v>1491058.01</v>
          </cell>
          <cell r="I57">
            <v>1501150.15</v>
          </cell>
          <cell r="J57">
            <v>1488698.58</v>
          </cell>
          <cell r="K57">
            <v>1527792.79</v>
          </cell>
          <cell r="L57">
            <v>1569509.75</v>
          </cell>
          <cell r="M57">
            <v>1663201.68</v>
          </cell>
          <cell r="N57">
            <v>1816328.24</v>
          </cell>
          <cell r="O57">
            <v>2055374.69</v>
          </cell>
          <cell r="P57">
            <v>2172677.2799999998</v>
          </cell>
          <cell r="Q57">
            <v>19535247.84</v>
          </cell>
        </row>
        <row r="58">
          <cell r="Q58">
            <v>0</v>
          </cell>
        </row>
        <row r="59">
          <cell r="Q59">
            <v>995483070.71000004</v>
          </cell>
        </row>
        <row r="60">
          <cell r="E60">
            <v>1347917.34</v>
          </cell>
          <cell r="F60">
            <v>300323.59999999998</v>
          </cell>
          <cell r="G60">
            <v>88468.1</v>
          </cell>
          <cell r="H60">
            <v>0</v>
          </cell>
          <cell r="I60">
            <v>0</v>
          </cell>
          <cell r="J60">
            <v>0</v>
          </cell>
          <cell r="K60">
            <v>0</v>
          </cell>
          <cell r="L60">
            <v>0</v>
          </cell>
          <cell r="M60">
            <v>-114734.05</v>
          </cell>
          <cell r="N60">
            <v>0</v>
          </cell>
          <cell r="O60">
            <v>0</v>
          </cell>
          <cell r="P60">
            <v>-8389.17</v>
          </cell>
          <cell r="Q60">
            <v>1613585.82</v>
          </cell>
        </row>
        <row r="61">
          <cell r="E61">
            <v>67618.789999999994</v>
          </cell>
          <cell r="F61">
            <v>75719.360000000001</v>
          </cell>
          <cell r="G61">
            <v>94344.12</v>
          </cell>
          <cell r="H61">
            <v>50475.35</v>
          </cell>
          <cell r="I61">
            <v>100653.75999999999</v>
          </cell>
          <cell r="J61">
            <v>127096.27</v>
          </cell>
          <cell r="K61">
            <v>70911.37</v>
          </cell>
          <cell r="L61">
            <v>110351.64</v>
          </cell>
          <cell r="M61">
            <v>117585.95</v>
          </cell>
          <cell r="N61">
            <v>122940.18</v>
          </cell>
          <cell r="O61">
            <v>154102.35</v>
          </cell>
          <cell r="P61">
            <v>118754.35</v>
          </cell>
          <cell r="Q61">
            <v>1210553.4900000002</v>
          </cell>
        </row>
        <row r="62">
          <cell r="Q62">
            <v>998307210.0200001</v>
          </cell>
        </row>
        <row r="63">
          <cell r="E63">
            <v>166313</v>
          </cell>
          <cell r="F63">
            <v>164589</v>
          </cell>
          <cell r="G63">
            <v>175924</v>
          </cell>
          <cell r="H63">
            <v>180706</v>
          </cell>
          <cell r="I63">
            <v>186477</v>
          </cell>
          <cell r="J63">
            <v>195625</v>
          </cell>
          <cell r="K63">
            <v>199866</v>
          </cell>
          <cell r="L63">
            <v>217664</v>
          </cell>
          <cell r="M63">
            <v>224449</v>
          </cell>
          <cell r="N63">
            <v>235118</v>
          </cell>
          <cell r="O63">
            <v>261360</v>
          </cell>
          <cell r="P63">
            <v>292363</v>
          </cell>
          <cell r="Q63">
            <v>208371.16666666666</v>
          </cell>
        </row>
        <row r="64">
          <cell r="E64">
            <v>357.50964416491797</v>
          </cell>
          <cell r="F64">
            <v>393.44531353857178</v>
          </cell>
          <cell r="G64">
            <v>472.70824645869806</v>
          </cell>
          <cell r="H64">
            <v>356.07895448961301</v>
          </cell>
          <cell r="I64">
            <v>392.14551231519181</v>
          </cell>
          <cell r="J64">
            <v>437.48812421725245</v>
          </cell>
          <cell r="K64">
            <v>378.61071923188547</v>
          </cell>
          <cell r="L64">
            <v>387.63791812150851</v>
          </cell>
          <cell r="M64">
            <v>452.3279707639598</v>
          </cell>
          <cell r="N64">
            <v>368.17144642264736</v>
          </cell>
          <cell r="O64">
            <v>368.0465627486991</v>
          </cell>
          <cell r="P64">
            <v>422.5866523807731</v>
          </cell>
          <cell r="Q64">
            <v>4791.0045616676016</v>
          </cell>
        </row>
        <row r="65">
          <cell r="E65">
            <v>66951215.049999997</v>
          </cell>
          <cell r="F65">
            <v>74347086.839999989</v>
          </cell>
          <cell r="G65">
            <v>96699887.409999996</v>
          </cell>
          <cell r="H65">
            <v>74995464.870000005</v>
          </cell>
          <cell r="I65">
            <v>85409358.120000005</v>
          </cell>
          <cell r="J65">
            <v>100509295.40000001</v>
          </cell>
          <cell r="K65">
            <v>88573946.319999993</v>
          </cell>
          <cell r="L65">
            <v>98674874.430000022</v>
          </cell>
          <cell r="M65">
            <v>118954705.61999999</v>
          </cell>
          <cell r="N65">
            <v>98362057.00999999</v>
          </cell>
          <cell r="O65">
            <v>104488008.04000001</v>
          </cell>
          <cell r="P65">
            <v>129094369.92999999</v>
          </cell>
          <cell r="Q65">
            <v>1137060269.04</v>
          </cell>
        </row>
        <row r="66">
          <cell r="E66">
            <v>212967.42</v>
          </cell>
          <cell r="F66">
            <v>167965.22</v>
          </cell>
          <cell r="G66">
            <v>257368.01</v>
          </cell>
          <cell r="H66">
            <v>238409.48999999996</v>
          </cell>
          <cell r="I66">
            <v>200318.03999999998</v>
          </cell>
          <cell r="J66">
            <v>255013.19999999998</v>
          </cell>
          <cell r="K66">
            <v>252644.56</v>
          </cell>
          <cell r="L66">
            <v>216087.46</v>
          </cell>
          <cell r="M66">
            <v>290917.81</v>
          </cell>
          <cell r="N66">
            <v>297780.43</v>
          </cell>
          <cell r="O66">
            <v>255450.88</v>
          </cell>
          <cell r="P66">
            <v>298389.3</v>
          </cell>
          <cell r="Q66">
            <v>2943311.82</v>
          </cell>
        </row>
        <row r="67">
          <cell r="E67">
            <v>101087.55</v>
          </cell>
          <cell r="F67">
            <v>79024.789999999994</v>
          </cell>
          <cell r="G67">
            <v>117758.34</v>
          </cell>
          <cell r="H67">
            <v>162896.26999999999</v>
          </cell>
          <cell r="I67">
            <v>144617.25</v>
          </cell>
          <cell r="J67">
            <v>123211.98999999999</v>
          </cell>
          <cell r="K67">
            <v>188394.58000000002</v>
          </cell>
          <cell r="L67">
            <v>149054.63</v>
          </cell>
          <cell r="M67">
            <v>138007.51999999999</v>
          </cell>
          <cell r="N67">
            <v>104958.95</v>
          </cell>
          <cell r="O67">
            <v>83641.63</v>
          </cell>
          <cell r="P67">
            <v>214626.49</v>
          </cell>
          <cell r="Q67">
            <v>1607279.99</v>
          </cell>
        </row>
        <row r="68">
          <cell r="E68">
            <v>1768275.5799999998</v>
          </cell>
          <cell r="F68">
            <v>1839659.22</v>
          </cell>
          <cell r="G68">
            <v>2062607.54</v>
          </cell>
          <cell r="H68">
            <v>1980029.96</v>
          </cell>
          <cell r="I68">
            <v>2001525.02</v>
          </cell>
          <cell r="J68">
            <v>1982031.54</v>
          </cell>
          <cell r="K68">
            <v>2010257.42</v>
          </cell>
          <cell r="L68">
            <v>2071896.76</v>
          </cell>
          <cell r="M68">
            <v>2182492.77</v>
          </cell>
          <cell r="N68">
            <v>2305575.06</v>
          </cell>
          <cell r="O68">
            <v>2435516.38</v>
          </cell>
          <cell r="P68">
            <v>2484474.8699999996</v>
          </cell>
          <cell r="Q68">
            <v>25124342.119999997</v>
          </cell>
        </row>
        <row r="69">
          <cell r="Q69">
            <v>0</v>
          </cell>
        </row>
        <row r="70">
          <cell r="Q70">
            <v>1166735202.97</v>
          </cell>
        </row>
        <row r="71">
          <cell r="E71">
            <v>1580645.28</v>
          </cell>
          <cell r="F71">
            <v>433312.51</v>
          </cell>
          <cell r="G71">
            <v>136299.13</v>
          </cell>
          <cell r="H71">
            <v>0</v>
          </cell>
          <cell r="I71">
            <v>0</v>
          </cell>
          <cell r="J71">
            <v>0</v>
          </cell>
          <cell r="K71">
            <v>0</v>
          </cell>
          <cell r="L71">
            <v>0</v>
          </cell>
          <cell r="M71">
            <v>-118975.08</v>
          </cell>
          <cell r="N71">
            <v>0</v>
          </cell>
          <cell r="O71">
            <v>0</v>
          </cell>
          <cell r="P71">
            <v>-8509.59</v>
          </cell>
          <cell r="Q71">
            <v>2022772.2499999998</v>
          </cell>
        </row>
        <row r="72">
          <cell r="E72">
            <v>67978.789999999994</v>
          </cell>
          <cell r="F72">
            <v>75719.360000000001</v>
          </cell>
          <cell r="G72">
            <v>98980.44</v>
          </cell>
          <cell r="H72">
            <v>50875.35</v>
          </cell>
          <cell r="I72">
            <v>103087.92</v>
          </cell>
          <cell r="J72">
            <v>131833.63</v>
          </cell>
          <cell r="K72">
            <v>74374.569999999992</v>
          </cell>
          <cell r="L72">
            <v>113218.59</v>
          </cell>
          <cell r="M72">
            <v>120997.67</v>
          </cell>
          <cell r="N72">
            <v>126616.18999999999</v>
          </cell>
          <cell r="O72">
            <v>172373.11000000002</v>
          </cell>
          <cell r="P72">
            <v>121954.23000000001</v>
          </cell>
          <cell r="Q72">
            <v>1258009.8499999999</v>
          </cell>
        </row>
        <row r="73">
          <cell r="Q73">
            <v>1170015985.0699999</v>
          </cell>
        </row>
        <row r="74">
          <cell r="E74">
            <v>223370</v>
          </cell>
          <cell r="F74">
            <v>221675</v>
          </cell>
          <cell r="G74">
            <v>236304</v>
          </cell>
          <cell r="H74">
            <v>241027</v>
          </cell>
          <cell r="I74">
            <v>251529</v>
          </cell>
          <cell r="J74">
            <v>264041</v>
          </cell>
          <cell r="K74">
            <v>265062</v>
          </cell>
          <cell r="L74">
            <v>290898</v>
          </cell>
          <cell r="M74">
            <v>296675</v>
          </cell>
          <cell r="N74">
            <v>298918</v>
          </cell>
          <cell r="O74">
            <v>311848</v>
          </cell>
          <cell r="P74">
            <v>355845</v>
          </cell>
          <cell r="Q74">
            <v>271432.66666666669</v>
          </cell>
        </row>
        <row r="75">
          <cell r="E75">
            <v>316.43537480413664</v>
          </cell>
          <cell r="F75">
            <v>347.0971825420097</v>
          </cell>
          <cell r="G75">
            <v>420.52991430530165</v>
          </cell>
          <cell r="H75">
            <v>321.24067403236972</v>
          </cell>
          <cell r="I75">
            <v>349.29931081505515</v>
          </cell>
          <cell r="J75">
            <v>390.09618112338615</v>
          </cell>
          <cell r="K75">
            <v>343.69173042533441</v>
          </cell>
          <cell r="L75">
            <v>347.97465733693605</v>
          </cell>
          <cell r="M75">
            <v>409.76875810230047</v>
          </cell>
          <cell r="N75">
            <v>338.54430860637365</v>
          </cell>
          <cell r="O75">
            <v>344.51075536799976</v>
          </cell>
          <cell r="P75">
            <v>371.52497640826761</v>
          </cell>
          <cell r="Q75">
            <v>4310.5201722342426</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google.com/url?sa=t&amp;rct=j&amp;q=&amp;esrc=s&amp;source=web&amp;cd=6&amp;cts=1331079773554&amp;ved=0CGYQFjAF&amp;url=http%3A%2F%2Fwww.dba-oracle.com%2Ft_alter_table_add_column_syntax_example.htm&amp;ei=wKlWT9-IEMuKsAKAtv3PCQ&amp;usg=AFQjCNE4nYVnaI7_X06-dHHNFQ2ckkrSHw&amp;sig2=ydEiO1bFJw72UV_Bc2TdCw"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78"/>
  <sheetViews>
    <sheetView view="pageBreakPreview" topLeftCell="A24" zoomScale="70" zoomScaleNormal="100" zoomScaleSheetLayoutView="70" workbookViewId="0">
      <selection activeCell="P63" sqref="P63"/>
    </sheetView>
  </sheetViews>
  <sheetFormatPr defaultColWidth="9.140625" defaultRowHeight="15.75" x14ac:dyDescent="0.2"/>
  <cols>
    <col min="1" max="1" width="5.5703125" style="194" customWidth="1"/>
    <col min="2" max="2" width="33.5703125" style="194" customWidth="1"/>
    <col min="3" max="3" width="17.7109375" style="194" customWidth="1"/>
    <col min="4" max="4" width="20" style="194" bestFit="1" customWidth="1"/>
    <col min="5" max="5" width="18.7109375" style="194" bestFit="1" customWidth="1"/>
    <col min="6" max="6" width="17.7109375" style="194" customWidth="1"/>
    <col min="7" max="7" width="18.7109375" style="194" bestFit="1" customWidth="1"/>
    <col min="8" max="15" width="17.7109375" style="194" customWidth="1"/>
    <col min="16" max="16" width="17.42578125" style="194" bestFit="1" customWidth="1"/>
    <col min="17" max="17" width="14.28515625" style="194" bestFit="1" customWidth="1"/>
    <col min="18" max="18" width="23.140625" style="194" customWidth="1"/>
    <col min="19" max="19" width="18.140625" style="194" customWidth="1"/>
    <col min="20" max="16384" width="9.140625" style="194"/>
  </cols>
  <sheetData>
    <row r="1" spans="1:18" s="196" customFormat="1" ht="16.5" customHeight="1" thickBot="1" x14ac:dyDescent="0.25">
      <c r="A1" s="644" t="s">
        <v>349</v>
      </c>
      <c r="B1" s="644"/>
      <c r="C1" s="644"/>
      <c r="D1" s="644"/>
      <c r="E1" s="644"/>
      <c r="F1" s="644"/>
      <c r="G1" s="644"/>
      <c r="H1" s="644"/>
      <c r="I1" s="644"/>
      <c r="J1" s="644"/>
      <c r="K1" s="644"/>
      <c r="L1" s="644"/>
      <c r="M1" s="644"/>
      <c r="N1" s="644"/>
      <c r="O1" s="644"/>
    </row>
    <row r="2" spans="1:18" ht="32.25" thickBot="1" x14ac:dyDescent="0.25">
      <c r="A2" s="78"/>
      <c r="B2" s="79" t="s">
        <v>48</v>
      </c>
      <c r="C2" s="80">
        <v>42917</v>
      </c>
      <c r="D2" s="80">
        <v>42948</v>
      </c>
      <c r="E2" s="80">
        <v>42979</v>
      </c>
      <c r="F2" s="80">
        <v>43009</v>
      </c>
      <c r="G2" s="80">
        <v>43040</v>
      </c>
      <c r="H2" s="80">
        <v>43070</v>
      </c>
      <c r="I2" s="80">
        <v>43101</v>
      </c>
      <c r="J2" s="80">
        <v>43132</v>
      </c>
      <c r="K2" s="80">
        <v>43160</v>
      </c>
      <c r="L2" s="80">
        <v>43191</v>
      </c>
      <c r="M2" s="80">
        <v>43221</v>
      </c>
      <c r="N2" s="80">
        <v>43252</v>
      </c>
      <c r="O2" s="81" t="s">
        <v>350</v>
      </c>
    </row>
    <row r="3" spans="1:18" x14ac:dyDescent="0.2">
      <c r="A3" s="645" t="s">
        <v>49</v>
      </c>
      <c r="B3" s="197" t="s">
        <v>50</v>
      </c>
      <c r="C3" s="531">
        <v>16104477</v>
      </c>
      <c r="D3" s="531">
        <v>9184407</v>
      </c>
      <c r="E3" s="531">
        <v>7565395</v>
      </c>
      <c r="F3" s="531">
        <v>13076940</v>
      </c>
      <c r="G3" s="531">
        <v>7447310</v>
      </c>
      <c r="H3" s="531">
        <v>8975274</v>
      </c>
      <c r="I3" s="531">
        <v>12924011</v>
      </c>
      <c r="J3" s="531">
        <v>5984064</v>
      </c>
      <c r="K3" s="531">
        <v>8446612</v>
      </c>
      <c r="L3" s="531">
        <v>2368229</v>
      </c>
      <c r="M3" s="587"/>
      <c r="N3" s="587"/>
      <c r="O3" s="198">
        <v>92076719</v>
      </c>
      <c r="P3" s="195"/>
      <c r="Q3" s="195"/>
      <c r="R3" s="576"/>
    </row>
    <row r="4" spans="1:18" x14ac:dyDescent="0.2">
      <c r="A4" s="646"/>
      <c r="B4" s="197" t="s">
        <v>51</v>
      </c>
      <c r="C4" s="531">
        <v>0</v>
      </c>
      <c r="D4" s="531">
        <v>1295</v>
      </c>
      <c r="E4" s="531">
        <v>0</v>
      </c>
      <c r="F4" s="531">
        <v>0</v>
      </c>
      <c r="G4" s="531">
        <v>-325</v>
      </c>
      <c r="H4" s="531">
        <v>0</v>
      </c>
      <c r="I4" s="531">
        <v>0</v>
      </c>
      <c r="J4" s="531">
        <v>0</v>
      </c>
      <c r="K4" s="531">
        <v>0</v>
      </c>
      <c r="L4" s="531">
        <v>0</v>
      </c>
      <c r="M4" s="587"/>
      <c r="N4" s="587"/>
      <c r="O4" s="198">
        <v>970</v>
      </c>
      <c r="P4" s="195"/>
      <c r="Q4" s="195"/>
      <c r="R4" s="576"/>
    </row>
    <row r="5" spans="1:18" x14ac:dyDescent="0.2">
      <c r="A5" s="646"/>
      <c r="B5" s="197" t="s">
        <v>400</v>
      </c>
      <c r="C5" s="531">
        <v>56049076</v>
      </c>
      <c r="D5" s="531">
        <v>54496072</v>
      </c>
      <c r="E5" s="531">
        <v>53079680</v>
      </c>
      <c r="F5" s="531">
        <v>71904047</v>
      </c>
      <c r="G5" s="531">
        <v>51667686</v>
      </c>
      <c r="H5" s="531">
        <v>52337230</v>
      </c>
      <c r="I5" s="531">
        <v>60768514</v>
      </c>
      <c r="J5" s="531">
        <v>54821269</v>
      </c>
      <c r="K5" s="531">
        <v>59564112</v>
      </c>
      <c r="L5" s="531">
        <v>61243925</v>
      </c>
      <c r="M5" s="587"/>
      <c r="N5" s="587"/>
      <c r="O5" s="198">
        <v>575931611</v>
      </c>
      <c r="P5" s="195"/>
      <c r="Q5" s="195"/>
      <c r="R5" s="576"/>
    </row>
    <row r="6" spans="1:18" x14ac:dyDescent="0.2">
      <c r="A6" s="646"/>
      <c r="B6" s="197" t="s">
        <v>52</v>
      </c>
      <c r="C6" s="531">
        <v>5939395</v>
      </c>
      <c r="D6" s="531">
        <v>3194558</v>
      </c>
      <c r="E6" s="531">
        <v>3482353</v>
      </c>
      <c r="F6" s="531">
        <v>3083703</v>
      </c>
      <c r="G6" s="531">
        <v>2766317</v>
      </c>
      <c r="H6" s="531">
        <v>3496019</v>
      </c>
      <c r="I6" s="531">
        <v>5452987</v>
      </c>
      <c r="J6" s="531">
        <v>3685557</v>
      </c>
      <c r="K6" s="531">
        <v>2674677</v>
      </c>
      <c r="L6" s="531">
        <v>4103260</v>
      </c>
      <c r="M6" s="587"/>
      <c r="N6" s="587"/>
      <c r="O6" s="198">
        <v>37878826</v>
      </c>
      <c r="P6" s="195"/>
      <c r="Q6" s="195"/>
    </row>
    <row r="7" spans="1:18" ht="31.5" x14ac:dyDescent="0.2">
      <c r="A7" s="646"/>
      <c r="B7" s="197" t="s">
        <v>53</v>
      </c>
      <c r="C7" s="531">
        <v>3183023</v>
      </c>
      <c r="D7" s="531">
        <v>2661140</v>
      </c>
      <c r="E7" s="531">
        <v>3264870</v>
      </c>
      <c r="F7" s="531">
        <v>4570217</v>
      </c>
      <c r="G7" s="531">
        <v>3465144</v>
      </c>
      <c r="H7" s="531">
        <v>3334767</v>
      </c>
      <c r="I7" s="531">
        <v>3787940</v>
      </c>
      <c r="J7" s="531">
        <v>3819054</v>
      </c>
      <c r="K7" s="531">
        <v>3644564</v>
      </c>
      <c r="L7" s="531">
        <v>4399644</v>
      </c>
      <c r="M7" s="587"/>
      <c r="N7" s="587"/>
      <c r="O7" s="198">
        <v>36130363</v>
      </c>
      <c r="P7" s="195"/>
      <c r="Q7" s="195"/>
    </row>
    <row r="8" spans="1:18" x14ac:dyDescent="0.2">
      <c r="A8" s="646"/>
      <c r="B8" s="197" t="s">
        <v>54</v>
      </c>
      <c r="C8" s="531">
        <v>31727505</v>
      </c>
      <c r="D8" s="531">
        <v>26941033</v>
      </c>
      <c r="E8" s="531">
        <v>25050135</v>
      </c>
      <c r="F8" s="531">
        <v>33469841</v>
      </c>
      <c r="G8" s="531">
        <v>26223106</v>
      </c>
      <c r="H8" s="531">
        <v>24249901</v>
      </c>
      <c r="I8" s="531">
        <v>26764286</v>
      </c>
      <c r="J8" s="531">
        <v>25056266</v>
      </c>
      <c r="K8" s="531">
        <v>25301466</v>
      </c>
      <c r="L8" s="531">
        <v>32206969</v>
      </c>
      <c r="M8" s="587"/>
      <c r="N8" s="587"/>
      <c r="O8" s="198">
        <v>276990508</v>
      </c>
      <c r="P8" s="195"/>
      <c r="Q8" s="195"/>
    </row>
    <row r="9" spans="1:18" x14ac:dyDescent="0.2">
      <c r="A9" s="646"/>
      <c r="B9" s="197" t="s">
        <v>55</v>
      </c>
      <c r="C9" s="531">
        <v>593</v>
      </c>
      <c r="D9" s="531">
        <v>0</v>
      </c>
      <c r="E9" s="531">
        <v>0</v>
      </c>
      <c r="F9" s="531">
        <v>0</v>
      </c>
      <c r="G9" s="531">
        <v>0</v>
      </c>
      <c r="H9" s="531">
        <v>139</v>
      </c>
      <c r="I9" s="531">
        <v>2447</v>
      </c>
      <c r="J9" s="531">
        <v>69</v>
      </c>
      <c r="K9" s="531">
        <v>0</v>
      </c>
      <c r="L9" s="531">
        <v>0</v>
      </c>
      <c r="M9" s="587"/>
      <c r="N9" s="587"/>
      <c r="O9" s="198">
        <v>3248</v>
      </c>
      <c r="P9" s="195"/>
      <c r="Q9" s="195"/>
    </row>
    <row r="10" spans="1:18" x14ac:dyDescent="0.2">
      <c r="A10" s="646"/>
      <c r="B10" s="197" t="s">
        <v>56</v>
      </c>
      <c r="C10" s="531">
        <v>36468650</v>
      </c>
      <c r="D10" s="531">
        <v>35218509</v>
      </c>
      <c r="E10" s="531">
        <v>38367796</v>
      </c>
      <c r="F10" s="531">
        <v>33632450</v>
      </c>
      <c r="G10" s="531">
        <v>35008059</v>
      </c>
      <c r="H10" s="531">
        <v>27928316</v>
      </c>
      <c r="I10" s="531">
        <v>37661765</v>
      </c>
      <c r="J10" s="531">
        <v>37025240</v>
      </c>
      <c r="K10" s="531">
        <v>37844533</v>
      </c>
      <c r="L10" s="531">
        <v>35910884</v>
      </c>
      <c r="M10" s="587"/>
      <c r="N10" s="587"/>
      <c r="O10" s="198">
        <v>355066202</v>
      </c>
      <c r="P10" s="195"/>
      <c r="Q10" s="195"/>
    </row>
    <row r="11" spans="1:18" x14ac:dyDescent="0.2">
      <c r="A11" s="646"/>
      <c r="B11" s="197" t="s">
        <v>16</v>
      </c>
      <c r="C11" s="531">
        <v>65079278</v>
      </c>
      <c r="D11" s="531">
        <v>52459208</v>
      </c>
      <c r="E11" s="531">
        <v>62718456</v>
      </c>
      <c r="F11" s="531">
        <v>73262174</v>
      </c>
      <c r="G11" s="531">
        <v>51232997</v>
      </c>
      <c r="H11" s="531">
        <v>65490361</v>
      </c>
      <c r="I11" s="531">
        <v>70471144</v>
      </c>
      <c r="J11" s="531">
        <v>87657364</v>
      </c>
      <c r="K11" s="531">
        <v>56286806</v>
      </c>
      <c r="L11" s="531">
        <v>73018387</v>
      </c>
      <c r="M11" s="587"/>
      <c r="N11" s="587"/>
      <c r="O11" s="198">
        <v>657676175</v>
      </c>
      <c r="P11" s="195"/>
      <c r="Q11" s="195"/>
    </row>
    <row r="12" spans="1:18" x14ac:dyDescent="0.2">
      <c r="A12" s="646"/>
      <c r="B12" s="197" t="s">
        <v>17</v>
      </c>
      <c r="C12" s="531">
        <v>44334525</v>
      </c>
      <c r="D12" s="531">
        <v>56405765</v>
      </c>
      <c r="E12" s="531">
        <v>9666440</v>
      </c>
      <c r="F12" s="531">
        <v>50242425</v>
      </c>
      <c r="G12" s="531">
        <v>28826529</v>
      </c>
      <c r="H12" s="531">
        <v>49134240</v>
      </c>
      <c r="I12" s="531">
        <v>53720894</v>
      </c>
      <c r="J12" s="531">
        <v>34279031</v>
      </c>
      <c r="K12" s="531">
        <v>52980742</v>
      </c>
      <c r="L12" s="531">
        <v>7522024</v>
      </c>
      <c r="M12" s="587"/>
      <c r="N12" s="587"/>
      <c r="O12" s="198">
        <v>387112615</v>
      </c>
      <c r="P12" s="195"/>
      <c r="Q12" s="195"/>
    </row>
    <row r="13" spans="1:18" x14ac:dyDescent="0.2">
      <c r="A13" s="646"/>
      <c r="B13" s="197" t="s">
        <v>57</v>
      </c>
      <c r="C13" s="531">
        <v>10105889</v>
      </c>
      <c r="D13" s="531">
        <v>9206867</v>
      </c>
      <c r="E13" s="531">
        <v>11465423</v>
      </c>
      <c r="F13" s="531">
        <v>9961832</v>
      </c>
      <c r="G13" s="531">
        <v>8252893</v>
      </c>
      <c r="H13" s="531">
        <v>10393732</v>
      </c>
      <c r="I13" s="531">
        <v>9954725</v>
      </c>
      <c r="J13" s="531">
        <v>8080807</v>
      </c>
      <c r="K13" s="531">
        <v>8303358</v>
      </c>
      <c r="L13" s="531">
        <v>189318</v>
      </c>
      <c r="M13" s="587"/>
      <c r="N13" s="587"/>
      <c r="O13" s="198">
        <v>85914844</v>
      </c>
      <c r="P13" s="195"/>
      <c r="Q13" s="195"/>
    </row>
    <row r="14" spans="1:18" x14ac:dyDescent="0.2">
      <c r="A14" s="646"/>
      <c r="B14" s="197" t="s">
        <v>58</v>
      </c>
      <c r="C14" s="531">
        <v>17557346</v>
      </c>
      <c r="D14" s="531">
        <v>13411768</v>
      </c>
      <c r="E14" s="531">
        <v>14303539</v>
      </c>
      <c r="F14" s="531">
        <v>17261720</v>
      </c>
      <c r="G14" s="531">
        <v>12970687</v>
      </c>
      <c r="H14" s="531">
        <v>16022448</v>
      </c>
      <c r="I14" s="531">
        <v>15811549</v>
      </c>
      <c r="J14" s="531">
        <v>13671600</v>
      </c>
      <c r="K14" s="531">
        <v>13451908</v>
      </c>
      <c r="L14" s="531">
        <v>17127495</v>
      </c>
      <c r="M14" s="587"/>
      <c r="N14" s="587"/>
      <c r="O14" s="198">
        <v>151590060</v>
      </c>
      <c r="P14" s="195"/>
      <c r="Q14" s="195"/>
    </row>
    <row r="15" spans="1:18" x14ac:dyDescent="0.2">
      <c r="A15" s="646"/>
      <c r="B15" s="197" t="s">
        <v>15</v>
      </c>
      <c r="C15" s="531">
        <v>90490713</v>
      </c>
      <c r="D15" s="531">
        <v>80348224</v>
      </c>
      <c r="E15" s="531">
        <v>76488247</v>
      </c>
      <c r="F15" s="531">
        <v>83966721</v>
      </c>
      <c r="G15" s="531">
        <v>71613672</v>
      </c>
      <c r="H15" s="531">
        <v>75079365</v>
      </c>
      <c r="I15" s="531">
        <v>93228788</v>
      </c>
      <c r="J15" s="531">
        <v>80051534</v>
      </c>
      <c r="K15" s="531">
        <v>77080524</v>
      </c>
      <c r="L15" s="531">
        <v>92458598</v>
      </c>
      <c r="M15" s="587"/>
      <c r="N15" s="587"/>
      <c r="O15" s="198">
        <v>820806386</v>
      </c>
      <c r="P15" s="195"/>
      <c r="Q15" s="195"/>
    </row>
    <row r="16" spans="1:18" x14ac:dyDescent="0.2">
      <c r="A16" s="646"/>
      <c r="B16" s="197" t="s">
        <v>59</v>
      </c>
      <c r="C16" s="531">
        <v>0</v>
      </c>
      <c r="D16" s="531">
        <v>0</v>
      </c>
      <c r="E16" s="531">
        <v>-132048333</v>
      </c>
      <c r="F16" s="531">
        <v>0</v>
      </c>
      <c r="G16" s="531">
        <v>0</v>
      </c>
      <c r="H16" s="531">
        <v>-156732299</v>
      </c>
      <c r="I16" s="531">
        <v>0</v>
      </c>
      <c r="J16" s="531">
        <v>0</v>
      </c>
      <c r="K16" s="531">
        <v>-131208652</v>
      </c>
      <c r="L16" s="531">
        <v>0</v>
      </c>
      <c r="M16" s="587"/>
      <c r="N16" s="587"/>
      <c r="O16" s="198">
        <v>-419989284</v>
      </c>
      <c r="P16" s="195"/>
      <c r="Q16" s="195"/>
    </row>
    <row r="17" spans="1:19" x14ac:dyDescent="0.2">
      <c r="A17" s="646"/>
      <c r="B17" s="197" t="s">
        <v>79</v>
      </c>
      <c r="C17" s="531">
        <v>1970595</v>
      </c>
      <c r="D17" s="531">
        <v>1574508</v>
      </c>
      <c r="E17" s="531">
        <v>1607618</v>
      </c>
      <c r="F17" s="531">
        <v>2051681</v>
      </c>
      <c r="G17" s="531">
        <v>1616255</v>
      </c>
      <c r="H17" s="531">
        <v>1544161</v>
      </c>
      <c r="I17" s="531">
        <v>1656476</v>
      </c>
      <c r="J17" s="531">
        <v>1763566</v>
      </c>
      <c r="K17" s="531">
        <v>1771109</v>
      </c>
      <c r="L17" s="531">
        <v>2058711</v>
      </c>
      <c r="M17" s="587"/>
      <c r="N17" s="587"/>
      <c r="O17" s="198">
        <v>17614680</v>
      </c>
      <c r="P17" s="195"/>
      <c r="Q17" s="195"/>
    </row>
    <row r="18" spans="1:19" x14ac:dyDescent="0.2">
      <c r="A18" s="646"/>
      <c r="B18" s="197" t="s">
        <v>80</v>
      </c>
      <c r="C18" s="531">
        <v>20352520</v>
      </c>
      <c r="D18" s="531">
        <v>13136477</v>
      </c>
      <c r="E18" s="531">
        <v>18669858</v>
      </c>
      <c r="F18" s="531">
        <v>18828987</v>
      </c>
      <c r="G18" s="531">
        <v>14435803</v>
      </c>
      <c r="H18" s="531">
        <v>14607623</v>
      </c>
      <c r="I18" s="531">
        <v>18191528</v>
      </c>
      <c r="J18" s="531">
        <v>15935628</v>
      </c>
      <c r="K18" s="531">
        <v>12956239</v>
      </c>
      <c r="L18" s="531">
        <v>19231907</v>
      </c>
      <c r="M18" s="587"/>
      <c r="N18" s="587"/>
      <c r="O18" s="198">
        <v>166346570</v>
      </c>
      <c r="P18" s="195"/>
      <c r="Q18" s="195"/>
    </row>
    <row r="19" spans="1:19" ht="15.75" customHeight="1" x14ac:dyDescent="0.2">
      <c r="A19" s="646"/>
      <c r="B19" s="197" t="s">
        <v>81</v>
      </c>
      <c r="C19" s="531">
        <v>7505059</v>
      </c>
      <c r="D19" s="531">
        <v>2926486</v>
      </c>
      <c r="E19" s="531">
        <v>5916299</v>
      </c>
      <c r="F19" s="531">
        <v>6852966</v>
      </c>
      <c r="G19" s="531">
        <v>7838925</v>
      </c>
      <c r="H19" s="531">
        <v>-3963247</v>
      </c>
      <c r="I19" s="531">
        <v>13028808</v>
      </c>
      <c r="J19" s="531">
        <v>13021403</v>
      </c>
      <c r="K19" s="531">
        <v>13007558</v>
      </c>
      <c r="L19" s="531">
        <v>8589389</v>
      </c>
      <c r="M19" s="587"/>
      <c r="N19" s="587"/>
      <c r="O19" s="198">
        <v>74723646</v>
      </c>
      <c r="P19" s="195"/>
      <c r="Q19" s="195"/>
    </row>
    <row r="20" spans="1:19" ht="31.5" x14ac:dyDescent="0.2">
      <c r="A20" s="646"/>
      <c r="B20" s="197" t="s">
        <v>82</v>
      </c>
      <c r="C20" s="531">
        <v>0</v>
      </c>
      <c r="D20" s="531">
        <v>0</v>
      </c>
      <c r="E20" s="531">
        <v>0</v>
      </c>
      <c r="F20" s="531">
        <v>-42</v>
      </c>
      <c r="G20" s="531">
        <v>-161</v>
      </c>
      <c r="H20" s="531">
        <v>-12953</v>
      </c>
      <c r="I20" s="531">
        <v>0</v>
      </c>
      <c r="J20" s="531">
        <v>-9234</v>
      </c>
      <c r="K20" s="531">
        <v>0</v>
      </c>
      <c r="L20" s="531">
        <v>0</v>
      </c>
      <c r="M20" s="587"/>
      <c r="N20" s="587"/>
      <c r="O20" s="198">
        <v>-22390</v>
      </c>
      <c r="P20" s="195"/>
      <c r="Q20" s="195"/>
      <c r="R20" s="535"/>
    </row>
    <row r="21" spans="1:19" ht="31.5" x14ac:dyDescent="0.2">
      <c r="A21" s="646"/>
      <c r="B21" s="197" t="s">
        <v>83</v>
      </c>
      <c r="C21" s="531">
        <v>0</v>
      </c>
      <c r="D21" s="531">
        <v>0</v>
      </c>
      <c r="E21" s="531">
        <v>0</v>
      </c>
      <c r="F21" s="531">
        <v>0</v>
      </c>
      <c r="G21" s="531">
        <v>0</v>
      </c>
      <c r="H21" s="531">
        <v>0</v>
      </c>
      <c r="I21" s="531">
        <v>0</v>
      </c>
      <c r="J21" s="531">
        <v>0</v>
      </c>
      <c r="K21" s="531">
        <v>0</v>
      </c>
      <c r="L21" s="531">
        <v>0</v>
      </c>
      <c r="M21" s="587"/>
      <c r="N21" s="587"/>
      <c r="O21" s="198">
        <v>0</v>
      </c>
      <c r="P21" s="195"/>
      <c r="Q21" s="195"/>
    </row>
    <row r="22" spans="1:19" x14ac:dyDescent="0.2">
      <c r="A22" s="646"/>
      <c r="B22" s="197" t="s">
        <v>84</v>
      </c>
      <c r="C22" s="531">
        <v>0</v>
      </c>
      <c r="D22" s="531">
        <v>0</v>
      </c>
      <c r="E22" s="531">
        <v>2457</v>
      </c>
      <c r="F22" s="531">
        <v>0</v>
      </c>
      <c r="G22" s="531">
        <v>1033</v>
      </c>
      <c r="H22" s="531">
        <v>2451</v>
      </c>
      <c r="I22" s="531">
        <v>0</v>
      </c>
      <c r="J22" s="531">
        <v>1076</v>
      </c>
      <c r="K22" s="531">
        <v>0</v>
      </c>
      <c r="L22" s="531">
        <v>4050</v>
      </c>
      <c r="M22" s="587"/>
      <c r="N22" s="587"/>
      <c r="O22" s="198">
        <v>11067</v>
      </c>
      <c r="P22" s="195"/>
      <c r="Q22" s="195"/>
    </row>
    <row r="23" spans="1:19" x14ac:dyDescent="0.2">
      <c r="A23" s="646"/>
      <c r="B23" s="197" t="s">
        <v>339</v>
      </c>
      <c r="C23" s="531">
        <v>6125510</v>
      </c>
      <c r="D23" s="531">
        <v>7162811</v>
      </c>
      <c r="E23" s="531">
        <v>7061214</v>
      </c>
      <c r="F23" s="531">
        <v>7872735</v>
      </c>
      <c r="G23" s="531">
        <v>6465177</v>
      </c>
      <c r="H23" s="531">
        <v>6163546</v>
      </c>
      <c r="I23" s="531">
        <v>6070542</v>
      </c>
      <c r="J23" s="531">
        <v>4318243</v>
      </c>
      <c r="K23" s="531">
        <v>5249458</v>
      </c>
      <c r="L23" s="531">
        <v>6172096</v>
      </c>
      <c r="M23" s="587"/>
      <c r="N23" s="587"/>
      <c r="O23" s="198">
        <v>62661332</v>
      </c>
      <c r="P23" s="195"/>
      <c r="Q23" s="195"/>
    </row>
    <row r="24" spans="1:19" ht="16.5" thickBot="1" x14ac:dyDescent="0.25">
      <c r="A24" s="646"/>
      <c r="B24" s="197" t="s">
        <v>294</v>
      </c>
      <c r="C24" s="531">
        <v>2218045</v>
      </c>
      <c r="D24" s="531">
        <v>1923191</v>
      </c>
      <c r="E24" s="531">
        <v>1758023</v>
      </c>
      <c r="F24" s="531">
        <v>2427280</v>
      </c>
      <c r="G24" s="531">
        <v>2225681</v>
      </c>
      <c r="H24" s="531">
        <v>2115951</v>
      </c>
      <c r="I24" s="531">
        <v>2554592</v>
      </c>
      <c r="J24" s="531">
        <v>1829545</v>
      </c>
      <c r="K24" s="531">
        <v>2514573</v>
      </c>
      <c r="L24" s="531">
        <v>4974786</v>
      </c>
      <c r="M24" s="587"/>
      <c r="N24" s="587"/>
      <c r="O24" s="198">
        <v>24541667</v>
      </c>
      <c r="P24" s="195"/>
      <c r="Q24" s="195"/>
    </row>
    <row r="25" spans="1:19" ht="16.5" thickBot="1" x14ac:dyDescent="0.25">
      <c r="A25" s="647"/>
      <c r="B25" s="199" t="s">
        <v>60</v>
      </c>
      <c r="C25" s="200">
        <v>415212199</v>
      </c>
      <c r="D25" s="200">
        <v>370252319</v>
      </c>
      <c r="E25" s="200">
        <v>208419470</v>
      </c>
      <c r="F25" s="200">
        <v>432465677</v>
      </c>
      <c r="G25" s="200">
        <v>332056788</v>
      </c>
      <c r="H25" s="200">
        <v>200167025</v>
      </c>
      <c r="I25" s="200">
        <v>432050996</v>
      </c>
      <c r="J25" s="200">
        <v>390992082</v>
      </c>
      <c r="K25" s="200">
        <v>249869587</v>
      </c>
      <c r="L25" s="200">
        <v>371579672</v>
      </c>
      <c r="M25" s="200">
        <v>0</v>
      </c>
      <c r="N25" s="200">
        <v>0</v>
      </c>
      <c r="O25" s="201">
        <v>3403065815</v>
      </c>
      <c r="P25" s="202"/>
      <c r="Q25" s="195"/>
    </row>
    <row r="26" spans="1:19" ht="31.5" x14ac:dyDescent="0.2">
      <c r="A26" s="645" t="s">
        <v>61</v>
      </c>
      <c r="B26" s="197" t="s">
        <v>85</v>
      </c>
      <c r="C26" s="532">
        <v>42633445</v>
      </c>
      <c r="D26" s="532">
        <v>31058595</v>
      </c>
      <c r="E26" s="532">
        <v>36586246</v>
      </c>
      <c r="F26" s="532">
        <v>32284538</v>
      </c>
      <c r="G26" s="532">
        <v>30473270</v>
      </c>
      <c r="H26" s="532">
        <v>30479861</v>
      </c>
      <c r="I26" s="532">
        <v>36424034</v>
      </c>
      <c r="J26" s="532">
        <v>31581862</v>
      </c>
      <c r="K26" s="532">
        <v>29797587</v>
      </c>
      <c r="L26" s="532">
        <v>32219100</v>
      </c>
      <c r="M26" s="588"/>
      <c r="N26" s="588"/>
      <c r="O26" s="198">
        <v>333538538</v>
      </c>
      <c r="Q26" s="195"/>
    </row>
    <row r="27" spans="1:19" ht="31.5" x14ac:dyDescent="0.2">
      <c r="A27" s="646"/>
      <c r="B27" s="197" t="s">
        <v>385</v>
      </c>
      <c r="C27" s="532">
        <v>3804605</v>
      </c>
      <c r="D27" s="532">
        <v>3291567</v>
      </c>
      <c r="E27" s="532">
        <v>3539533</v>
      </c>
      <c r="F27" s="532">
        <v>3309171</v>
      </c>
      <c r="G27" s="532">
        <v>3216791</v>
      </c>
      <c r="H27" s="532">
        <v>3130903</v>
      </c>
      <c r="I27" s="532">
        <v>3555201</v>
      </c>
      <c r="J27" s="532">
        <v>2958718</v>
      </c>
      <c r="K27" s="532">
        <v>2976708</v>
      </c>
      <c r="L27" s="532">
        <v>4277728</v>
      </c>
      <c r="M27" s="588"/>
      <c r="N27" s="588"/>
      <c r="O27" s="198">
        <v>34060925</v>
      </c>
      <c r="Q27" s="195"/>
    </row>
    <row r="28" spans="1:19" x14ac:dyDescent="0.2">
      <c r="A28" s="646"/>
      <c r="B28" s="197" t="s">
        <v>383</v>
      </c>
      <c r="C28" s="532">
        <v>2267231</v>
      </c>
      <c r="D28" s="532">
        <v>1660912</v>
      </c>
      <c r="E28" s="532">
        <v>2100622</v>
      </c>
      <c r="F28" s="532">
        <v>1643773</v>
      </c>
      <c r="G28" s="532">
        <v>1660202</v>
      </c>
      <c r="H28" s="532">
        <v>1939076</v>
      </c>
      <c r="I28" s="532">
        <v>2603797</v>
      </c>
      <c r="J28" s="532">
        <v>1872756</v>
      </c>
      <c r="K28" s="532">
        <v>2019439</v>
      </c>
      <c r="L28" s="532">
        <v>2528456</v>
      </c>
      <c r="M28" s="588"/>
      <c r="N28" s="588"/>
      <c r="O28" s="198">
        <v>20296264</v>
      </c>
      <c r="Q28" s="195"/>
      <c r="S28" s="195"/>
    </row>
    <row r="29" spans="1:19" ht="31.5" x14ac:dyDescent="0.2">
      <c r="A29" s="646"/>
      <c r="B29" s="197" t="s">
        <v>62</v>
      </c>
      <c r="C29" s="532">
        <v>0</v>
      </c>
      <c r="D29" s="532">
        <v>170830</v>
      </c>
      <c r="E29" s="532">
        <v>220549</v>
      </c>
      <c r="F29" s="532">
        <v>173057</v>
      </c>
      <c r="G29" s="532">
        <v>85446</v>
      </c>
      <c r="H29" s="532">
        <v>18572</v>
      </c>
      <c r="I29" s="532">
        <v>320953</v>
      </c>
      <c r="J29" s="532">
        <v>-750791</v>
      </c>
      <c r="K29" s="532">
        <v>150414</v>
      </c>
      <c r="L29" s="532">
        <v>166151</v>
      </c>
      <c r="M29" s="588"/>
      <c r="N29" s="588"/>
      <c r="O29" s="198">
        <v>555181</v>
      </c>
      <c r="Q29" s="195"/>
      <c r="R29" s="202"/>
    </row>
    <row r="30" spans="1:19" x14ac:dyDescent="0.2">
      <c r="A30" s="646"/>
      <c r="B30" s="197" t="s">
        <v>63</v>
      </c>
      <c r="C30" s="532">
        <v>1979283</v>
      </c>
      <c r="D30" s="532">
        <v>1412200</v>
      </c>
      <c r="E30" s="532">
        <v>1817516</v>
      </c>
      <c r="F30" s="532">
        <v>1381276</v>
      </c>
      <c r="G30" s="532">
        <v>1685707</v>
      </c>
      <c r="H30" s="532">
        <v>1448886</v>
      </c>
      <c r="I30" s="532">
        <v>1683816</v>
      </c>
      <c r="J30" s="532">
        <v>2543167</v>
      </c>
      <c r="K30" s="532">
        <v>1608727</v>
      </c>
      <c r="L30" s="532">
        <v>2425818</v>
      </c>
      <c r="M30" s="588"/>
      <c r="N30" s="588"/>
      <c r="O30" s="198">
        <v>17986396</v>
      </c>
      <c r="Q30" s="195"/>
      <c r="R30" s="202"/>
    </row>
    <row r="31" spans="1:19" x14ac:dyDescent="0.2">
      <c r="A31" s="646"/>
      <c r="B31" s="203" t="s">
        <v>64</v>
      </c>
      <c r="C31" s="532">
        <v>58706</v>
      </c>
      <c r="D31" s="532">
        <v>44043</v>
      </c>
      <c r="E31" s="532">
        <v>42857</v>
      </c>
      <c r="F31" s="532">
        <v>76467</v>
      </c>
      <c r="G31" s="532">
        <v>40550</v>
      </c>
      <c r="H31" s="532">
        <v>53551</v>
      </c>
      <c r="I31" s="532">
        <v>54470</v>
      </c>
      <c r="J31" s="532">
        <v>35611</v>
      </c>
      <c r="K31" s="532">
        <v>33621</v>
      </c>
      <c r="L31" s="532">
        <v>38785</v>
      </c>
      <c r="M31" s="588"/>
      <c r="N31" s="588"/>
      <c r="O31" s="198">
        <v>478661</v>
      </c>
      <c r="Q31" s="195"/>
    </row>
    <row r="32" spans="1:19" ht="31.5" x14ac:dyDescent="0.2">
      <c r="A32" s="646"/>
      <c r="B32" s="203" t="s">
        <v>384</v>
      </c>
      <c r="C32" s="532">
        <v>91146</v>
      </c>
      <c r="D32" s="532">
        <v>55757</v>
      </c>
      <c r="E32" s="532">
        <v>66966</v>
      </c>
      <c r="F32" s="532">
        <v>58821</v>
      </c>
      <c r="G32" s="532">
        <v>50650</v>
      </c>
      <c r="H32" s="532">
        <v>68797</v>
      </c>
      <c r="I32" s="532">
        <v>73661</v>
      </c>
      <c r="J32" s="532">
        <v>55214</v>
      </c>
      <c r="K32" s="532">
        <v>57510</v>
      </c>
      <c r="L32" s="532">
        <v>62262</v>
      </c>
      <c r="M32" s="588"/>
      <c r="N32" s="588"/>
      <c r="O32" s="198">
        <v>640784</v>
      </c>
      <c r="Q32" s="195"/>
    </row>
    <row r="33" spans="1:18" x14ac:dyDescent="0.2">
      <c r="A33" s="646"/>
      <c r="B33" s="203" t="s">
        <v>116</v>
      </c>
      <c r="C33" s="532">
        <v>716537</v>
      </c>
      <c r="D33" s="532">
        <v>352753</v>
      </c>
      <c r="E33" s="532">
        <v>410435</v>
      </c>
      <c r="F33" s="532">
        <v>647924</v>
      </c>
      <c r="G33" s="532">
        <v>411267</v>
      </c>
      <c r="H33" s="532">
        <v>330885</v>
      </c>
      <c r="I33" s="532">
        <v>389710</v>
      </c>
      <c r="J33" s="532">
        <v>413575</v>
      </c>
      <c r="K33" s="532">
        <v>396335</v>
      </c>
      <c r="L33" s="532">
        <v>405889</v>
      </c>
      <c r="M33" s="588"/>
      <c r="N33" s="588"/>
      <c r="O33" s="198">
        <v>4475310</v>
      </c>
      <c r="Q33" s="195"/>
    </row>
    <row r="34" spans="1:18" x14ac:dyDescent="0.2">
      <c r="A34" s="646"/>
      <c r="B34" s="203" t="s">
        <v>319</v>
      </c>
      <c r="C34" s="532">
        <v>299001</v>
      </c>
      <c r="D34" s="532">
        <v>227392</v>
      </c>
      <c r="E34" s="532">
        <v>266916</v>
      </c>
      <c r="F34" s="532">
        <v>227785</v>
      </c>
      <c r="G34" s="532">
        <v>299502</v>
      </c>
      <c r="H34" s="532">
        <v>174249</v>
      </c>
      <c r="I34" s="532">
        <v>230971</v>
      </c>
      <c r="J34" s="532">
        <v>532694</v>
      </c>
      <c r="K34" s="532">
        <v>79705</v>
      </c>
      <c r="L34" s="532">
        <v>316279</v>
      </c>
      <c r="M34" s="588"/>
      <c r="N34" s="588"/>
      <c r="O34" s="198">
        <v>2654494</v>
      </c>
      <c r="Q34" s="195"/>
    </row>
    <row r="35" spans="1:18" x14ac:dyDescent="0.2">
      <c r="A35" s="646"/>
      <c r="B35" s="197" t="s">
        <v>14</v>
      </c>
      <c r="C35" s="532">
        <v>8430084</v>
      </c>
      <c r="D35" s="532">
        <v>7074982</v>
      </c>
      <c r="E35" s="532">
        <v>6594684</v>
      </c>
      <c r="F35" s="532">
        <v>8549047</v>
      </c>
      <c r="G35" s="532">
        <v>7016464</v>
      </c>
      <c r="H35" s="532">
        <v>7075511</v>
      </c>
      <c r="I35" s="532">
        <v>8026264</v>
      </c>
      <c r="J35" s="532">
        <v>6675594</v>
      </c>
      <c r="K35" s="532">
        <v>7251653</v>
      </c>
      <c r="L35" s="532">
        <v>8455312</v>
      </c>
      <c r="M35" s="588"/>
      <c r="N35" s="588"/>
      <c r="O35" s="198">
        <v>75149595</v>
      </c>
      <c r="Q35" s="195"/>
    </row>
    <row r="36" spans="1:18" x14ac:dyDescent="0.2">
      <c r="A36" s="646"/>
      <c r="B36" s="197" t="s">
        <v>295</v>
      </c>
      <c r="C36" s="532">
        <v>28108393</v>
      </c>
      <c r="D36" s="532">
        <v>24450286</v>
      </c>
      <c r="E36" s="532">
        <v>24325141</v>
      </c>
      <c r="F36" s="532">
        <v>30589888</v>
      </c>
      <c r="G36" s="532">
        <v>24484236</v>
      </c>
      <c r="H36" s="532">
        <v>25512282</v>
      </c>
      <c r="I36" s="532">
        <v>32066436</v>
      </c>
      <c r="J36" s="532">
        <v>25730369</v>
      </c>
      <c r="K36" s="532">
        <v>17913575</v>
      </c>
      <c r="L36" s="532">
        <v>31762310</v>
      </c>
      <c r="M36" s="588"/>
      <c r="N36" s="588"/>
      <c r="O36" s="198">
        <v>264942916</v>
      </c>
      <c r="Q36" s="195"/>
      <c r="R36" s="535"/>
    </row>
    <row r="37" spans="1:18" ht="16.5" thickBot="1" x14ac:dyDescent="0.25">
      <c r="A37" s="646"/>
      <c r="B37" s="197" t="s">
        <v>65</v>
      </c>
      <c r="C37" s="532">
        <v>4388094</v>
      </c>
      <c r="D37" s="532">
        <v>4196702</v>
      </c>
      <c r="E37" s="532">
        <v>5587318</v>
      </c>
      <c r="F37" s="532">
        <v>5615697</v>
      </c>
      <c r="G37" s="532">
        <v>4076059</v>
      </c>
      <c r="H37" s="532">
        <v>4913518</v>
      </c>
      <c r="I37" s="532">
        <v>5496119</v>
      </c>
      <c r="J37" s="532">
        <v>5388091</v>
      </c>
      <c r="K37" s="532">
        <v>4751602</v>
      </c>
      <c r="L37" s="532">
        <v>4678793</v>
      </c>
      <c r="M37" s="588"/>
      <c r="N37" s="588"/>
      <c r="O37" s="198">
        <v>49091993</v>
      </c>
      <c r="Q37" s="195"/>
    </row>
    <row r="38" spans="1:18" ht="16.5" thickBot="1" x14ac:dyDescent="0.25">
      <c r="A38" s="647"/>
      <c r="B38" s="199" t="s">
        <v>66</v>
      </c>
      <c r="C38" s="200">
        <v>92776525</v>
      </c>
      <c r="D38" s="200">
        <v>73996019</v>
      </c>
      <c r="E38" s="200">
        <v>81558783</v>
      </c>
      <c r="F38" s="200">
        <v>84557444</v>
      </c>
      <c r="G38" s="200">
        <v>73500144</v>
      </c>
      <c r="H38" s="200">
        <v>75146091</v>
      </c>
      <c r="I38" s="200">
        <v>90925432</v>
      </c>
      <c r="J38" s="200">
        <v>77036860</v>
      </c>
      <c r="K38" s="200">
        <v>67036876</v>
      </c>
      <c r="L38" s="200">
        <v>87336883</v>
      </c>
      <c r="M38" s="200">
        <v>0</v>
      </c>
      <c r="N38" s="200">
        <v>0</v>
      </c>
      <c r="O38" s="201">
        <v>803871057</v>
      </c>
      <c r="P38" s="202"/>
      <c r="Q38" s="195"/>
    </row>
    <row r="39" spans="1:18" x14ac:dyDescent="0.2">
      <c r="A39" s="645" t="s">
        <v>67</v>
      </c>
      <c r="B39" s="197" t="s">
        <v>86</v>
      </c>
      <c r="C39" s="531">
        <v>60497789</v>
      </c>
      <c r="D39" s="531">
        <v>54045974</v>
      </c>
      <c r="E39" s="531">
        <v>57051316</v>
      </c>
      <c r="F39" s="531">
        <v>60258694</v>
      </c>
      <c r="G39" s="531">
        <v>57956522</v>
      </c>
      <c r="H39" s="531">
        <v>40199596</v>
      </c>
      <c r="I39" s="531">
        <v>63487576</v>
      </c>
      <c r="J39" s="531">
        <v>53757170</v>
      </c>
      <c r="K39" s="531">
        <v>45592566</v>
      </c>
      <c r="L39" s="531">
        <v>73948048</v>
      </c>
      <c r="M39" s="587"/>
      <c r="N39" s="587"/>
      <c r="O39" s="198">
        <v>566795251</v>
      </c>
      <c r="Q39" s="195"/>
    </row>
    <row r="40" spans="1:18" x14ac:dyDescent="0.2">
      <c r="A40" s="646"/>
      <c r="B40" s="197" t="s">
        <v>87</v>
      </c>
      <c r="C40" s="531">
        <v>455161</v>
      </c>
      <c r="D40" s="531">
        <v>440479</v>
      </c>
      <c r="E40" s="531">
        <v>332128</v>
      </c>
      <c r="F40" s="531">
        <v>597102</v>
      </c>
      <c r="G40" s="531">
        <v>497774</v>
      </c>
      <c r="H40" s="531">
        <v>272263</v>
      </c>
      <c r="I40" s="531">
        <v>442823</v>
      </c>
      <c r="J40" s="531">
        <v>504767</v>
      </c>
      <c r="K40" s="531">
        <v>475883</v>
      </c>
      <c r="L40" s="531">
        <v>456906</v>
      </c>
      <c r="M40" s="587"/>
      <c r="N40" s="587"/>
      <c r="O40" s="198">
        <v>4475286</v>
      </c>
      <c r="Q40" s="195"/>
    </row>
    <row r="41" spans="1:18" ht="31.5" x14ac:dyDescent="0.2">
      <c r="A41" s="646"/>
      <c r="B41" s="197" t="s">
        <v>88</v>
      </c>
      <c r="C41" s="531">
        <v>13062057</v>
      </c>
      <c r="D41" s="531">
        <v>10201843</v>
      </c>
      <c r="E41" s="531">
        <v>10164494</v>
      </c>
      <c r="F41" s="531">
        <v>23731144</v>
      </c>
      <c r="G41" s="531">
        <v>11064607</v>
      </c>
      <c r="H41" s="531">
        <v>13031832</v>
      </c>
      <c r="I41" s="531">
        <v>13803211</v>
      </c>
      <c r="J41" s="531">
        <v>10964943</v>
      </c>
      <c r="K41" s="531">
        <v>10503226</v>
      </c>
      <c r="L41" s="531">
        <v>16924248</v>
      </c>
      <c r="M41" s="587"/>
      <c r="N41" s="587"/>
      <c r="O41" s="198">
        <v>133451605</v>
      </c>
      <c r="Q41" s="195"/>
    </row>
    <row r="42" spans="1:18" ht="31.5" x14ac:dyDescent="0.2">
      <c r="A42" s="646"/>
      <c r="B42" s="197" t="s">
        <v>68</v>
      </c>
      <c r="C42" s="531">
        <v>15431206</v>
      </c>
      <c r="D42" s="531">
        <v>16026077</v>
      </c>
      <c r="E42" s="531">
        <v>16354577</v>
      </c>
      <c r="F42" s="531">
        <v>16606495</v>
      </c>
      <c r="G42" s="531">
        <v>16366214</v>
      </c>
      <c r="H42" s="531">
        <v>16375628</v>
      </c>
      <c r="I42" s="531">
        <v>16264964</v>
      </c>
      <c r="J42" s="531">
        <v>16543520</v>
      </c>
      <c r="K42" s="531">
        <v>16633484</v>
      </c>
      <c r="L42" s="531">
        <v>16199481</v>
      </c>
      <c r="M42" s="587"/>
      <c r="N42" s="587"/>
      <c r="O42" s="198">
        <v>162801646</v>
      </c>
      <c r="Q42" s="195"/>
    </row>
    <row r="43" spans="1:18" ht="16.5" thickBot="1" x14ac:dyDescent="0.25">
      <c r="A43" s="646"/>
      <c r="B43" s="197" t="s">
        <v>69</v>
      </c>
      <c r="C43" s="531">
        <v>152542</v>
      </c>
      <c r="D43" s="531">
        <v>163355</v>
      </c>
      <c r="E43" s="531">
        <v>156469</v>
      </c>
      <c r="F43" s="531">
        <v>248957</v>
      </c>
      <c r="G43" s="531">
        <v>238343</v>
      </c>
      <c r="H43" s="531">
        <v>199860</v>
      </c>
      <c r="I43" s="531">
        <v>205084</v>
      </c>
      <c r="J43" s="531">
        <v>169571</v>
      </c>
      <c r="K43" s="531">
        <v>245219</v>
      </c>
      <c r="L43" s="531">
        <v>208577</v>
      </c>
      <c r="M43" s="587"/>
      <c r="N43" s="587"/>
      <c r="O43" s="198">
        <v>1987977</v>
      </c>
      <c r="Q43" s="195"/>
    </row>
    <row r="44" spans="1:18" ht="16.5" thickBot="1" x14ac:dyDescent="0.25">
      <c r="A44" s="647"/>
      <c r="B44" s="199" t="s">
        <v>70</v>
      </c>
      <c r="C44" s="200">
        <v>89598755</v>
      </c>
      <c r="D44" s="200">
        <v>80877728</v>
      </c>
      <c r="E44" s="200">
        <v>84058984</v>
      </c>
      <c r="F44" s="200">
        <v>101442392</v>
      </c>
      <c r="G44" s="200">
        <v>86123460</v>
      </c>
      <c r="H44" s="200">
        <v>70079179</v>
      </c>
      <c r="I44" s="200">
        <v>94203658</v>
      </c>
      <c r="J44" s="200">
        <v>81939971</v>
      </c>
      <c r="K44" s="200">
        <v>73450378</v>
      </c>
      <c r="L44" s="200">
        <v>107737260</v>
      </c>
      <c r="M44" s="200">
        <v>0</v>
      </c>
      <c r="N44" s="200">
        <v>0</v>
      </c>
      <c r="O44" s="201">
        <v>869511765</v>
      </c>
      <c r="P44" s="202"/>
      <c r="Q44" s="195"/>
    </row>
    <row r="45" spans="1:18" x14ac:dyDescent="0.2">
      <c r="A45" s="645" t="s">
        <v>181</v>
      </c>
      <c r="B45" s="197" t="s">
        <v>89</v>
      </c>
      <c r="C45" s="531">
        <v>0</v>
      </c>
      <c r="D45" s="531">
        <v>2155878</v>
      </c>
      <c r="E45" s="531">
        <v>4181273</v>
      </c>
      <c r="F45" s="531">
        <v>3149178</v>
      </c>
      <c r="G45" s="531">
        <v>1915637</v>
      </c>
      <c r="H45" s="531">
        <v>4423144</v>
      </c>
      <c r="I45" s="531">
        <v>3223993</v>
      </c>
      <c r="J45" s="531">
        <v>0</v>
      </c>
      <c r="K45" s="531">
        <v>6475005</v>
      </c>
      <c r="L45" s="531">
        <v>0</v>
      </c>
      <c r="M45" s="587"/>
      <c r="N45" s="587"/>
      <c r="O45" s="198">
        <v>25524108</v>
      </c>
      <c r="Q45" s="195"/>
    </row>
    <row r="46" spans="1:18" x14ac:dyDescent="0.2">
      <c r="A46" s="646"/>
      <c r="B46" s="197" t="s">
        <v>90</v>
      </c>
      <c r="C46" s="531">
        <v>0</v>
      </c>
      <c r="D46" s="531">
        <v>0</v>
      </c>
      <c r="E46" s="531">
        <v>0</v>
      </c>
      <c r="F46" s="531">
        <v>0</v>
      </c>
      <c r="G46" s="531">
        <v>0</v>
      </c>
      <c r="H46" s="531">
        <v>0</v>
      </c>
      <c r="I46" s="531">
        <v>0</v>
      </c>
      <c r="J46" s="531">
        <v>303907</v>
      </c>
      <c r="K46" s="531">
        <v>0</v>
      </c>
      <c r="L46" s="531">
        <v>247284</v>
      </c>
      <c r="M46" s="587"/>
      <c r="N46" s="587"/>
      <c r="O46" s="198">
        <v>551191</v>
      </c>
      <c r="Q46" s="195"/>
    </row>
    <row r="47" spans="1:18" ht="32.25" thickBot="1" x14ac:dyDescent="0.25">
      <c r="A47" s="646"/>
      <c r="B47" s="197" t="s">
        <v>91</v>
      </c>
      <c r="C47" s="531">
        <v>10948006</v>
      </c>
      <c r="D47" s="531">
        <v>11320660</v>
      </c>
      <c r="E47" s="531">
        <v>13784701</v>
      </c>
      <c r="F47" s="531">
        <v>13459884</v>
      </c>
      <c r="G47" s="531">
        <v>10455597</v>
      </c>
      <c r="H47" s="531">
        <v>13522913</v>
      </c>
      <c r="I47" s="531">
        <v>10478918</v>
      </c>
      <c r="J47" s="531">
        <v>11618669</v>
      </c>
      <c r="K47" s="531">
        <v>10133219</v>
      </c>
      <c r="L47" s="531">
        <v>11394373</v>
      </c>
      <c r="M47" s="587"/>
      <c r="N47" s="587"/>
      <c r="O47" s="198">
        <v>117116940</v>
      </c>
      <c r="Q47" s="195"/>
    </row>
    <row r="48" spans="1:18" ht="16.5" thickBot="1" x14ac:dyDescent="0.25">
      <c r="A48" s="647"/>
      <c r="B48" s="199" t="s">
        <v>71</v>
      </c>
      <c r="C48" s="200">
        <v>10948006</v>
      </c>
      <c r="D48" s="200">
        <v>13476538</v>
      </c>
      <c r="E48" s="200">
        <v>17965974</v>
      </c>
      <c r="F48" s="200">
        <v>16609062</v>
      </c>
      <c r="G48" s="200">
        <v>12371234</v>
      </c>
      <c r="H48" s="200">
        <v>17946057</v>
      </c>
      <c r="I48" s="200">
        <v>13702911</v>
      </c>
      <c r="J48" s="200">
        <v>11922576</v>
      </c>
      <c r="K48" s="200">
        <v>16608224</v>
      </c>
      <c r="L48" s="200">
        <v>11641657</v>
      </c>
      <c r="M48" s="200">
        <v>0</v>
      </c>
      <c r="N48" s="200">
        <v>0</v>
      </c>
      <c r="O48" s="201">
        <v>143192239</v>
      </c>
      <c r="P48" s="202"/>
      <c r="Q48" s="195"/>
    </row>
    <row r="49" spans="1:17" ht="31.5" x14ac:dyDescent="0.2">
      <c r="A49" s="645" t="s">
        <v>72</v>
      </c>
      <c r="B49" s="197" t="s">
        <v>99</v>
      </c>
      <c r="C49" s="531">
        <v>0</v>
      </c>
      <c r="D49" s="531">
        <v>0</v>
      </c>
      <c r="E49" s="531">
        <v>0</v>
      </c>
      <c r="F49" s="531">
        <v>0</v>
      </c>
      <c r="G49" s="531">
        <v>0</v>
      </c>
      <c r="H49" s="531">
        <v>4625258</v>
      </c>
      <c r="I49" s="531">
        <v>0</v>
      </c>
      <c r="J49" s="531">
        <v>0</v>
      </c>
      <c r="K49" s="531">
        <v>0</v>
      </c>
      <c r="L49" s="531">
        <v>0</v>
      </c>
      <c r="M49" s="587"/>
      <c r="N49" s="587"/>
      <c r="O49" s="198">
        <v>4625258</v>
      </c>
      <c r="Q49" s="195"/>
    </row>
    <row r="50" spans="1:17" ht="31.5" x14ac:dyDescent="0.2">
      <c r="A50" s="646"/>
      <c r="B50" s="197" t="s">
        <v>73</v>
      </c>
      <c r="C50" s="531">
        <v>0</v>
      </c>
      <c r="D50" s="531">
        <v>0</v>
      </c>
      <c r="E50" s="531">
        <v>0</v>
      </c>
      <c r="F50" s="531">
        <v>0</v>
      </c>
      <c r="G50" s="531">
        <v>0</v>
      </c>
      <c r="H50" s="531">
        <v>0</v>
      </c>
      <c r="I50" s="531">
        <v>0</v>
      </c>
      <c r="J50" s="531">
        <v>0</v>
      </c>
      <c r="K50" s="531">
        <v>0</v>
      </c>
      <c r="L50" s="531">
        <v>0</v>
      </c>
      <c r="M50" s="587"/>
      <c r="N50" s="587"/>
      <c r="O50" s="198">
        <v>0</v>
      </c>
      <c r="Q50" s="195"/>
    </row>
    <row r="51" spans="1:17" ht="31.5" x14ac:dyDescent="0.2">
      <c r="A51" s="646"/>
      <c r="B51" s="197" t="s">
        <v>74</v>
      </c>
      <c r="C51" s="531">
        <v>0</v>
      </c>
      <c r="D51" s="531">
        <v>0</v>
      </c>
      <c r="E51" s="531">
        <v>0</v>
      </c>
      <c r="F51" s="531">
        <v>0</v>
      </c>
      <c r="G51" s="531">
        <v>0</v>
      </c>
      <c r="H51" s="531">
        <v>-1726</v>
      </c>
      <c r="I51" s="531">
        <v>0</v>
      </c>
      <c r="J51" s="531">
        <v>0</v>
      </c>
      <c r="K51" s="531">
        <v>0</v>
      </c>
      <c r="L51" s="531">
        <v>0</v>
      </c>
      <c r="M51" s="587"/>
      <c r="N51" s="587"/>
      <c r="O51" s="198">
        <v>-1726</v>
      </c>
      <c r="Q51" s="195"/>
    </row>
    <row r="52" spans="1:17" ht="31.5" x14ac:dyDescent="0.2">
      <c r="A52" s="646"/>
      <c r="B52" s="197" t="s">
        <v>92</v>
      </c>
      <c r="C52" s="531">
        <v>57068785</v>
      </c>
      <c r="D52" s="531">
        <v>136922655</v>
      </c>
      <c r="E52" s="531">
        <v>136966695</v>
      </c>
      <c r="F52" s="531">
        <v>65238516</v>
      </c>
      <c r="G52" s="531">
        <v>65332872</v>
      </c>
      <c r="H52" s="531">
        <v>72608250</v>
      </c>
      <c r="I52" s="531">
        <v>61755027</v>
      </c>
      <c r="J52" s="531">
        <v>61749399</v>
      </c>
      <c r="K52" s="531">
        <v>65332872</v>
      </c>
      <c r="L52" s="531">
        <v>65508526</v>
      </c>
      <c r="M52" s="587"/>
      <c r="N52" s="587"/>
      <c r="O52" s="198">
        <v>788483597</v>
      </c>
      <c r="Q52" s="195"/>
    </row>
    <row r="53" spans="1:17" ht="31.5" x14ac:dyDescent="0.2">
      <c r="A53" s="646"/>
      <c r="B53" s="197" t="s">
        <v>94</v>
      </c>
      <c r="C53" s="531">
        <v>8536804</v>
      </c>
      <c r="D53" s="531">
        <v>9433962</v>
      </c>
      <c r="E53" s="531">
        <v>8943547</v>
      </c>
      <c r="F53" s="531">
        <v>8931153</v>
      </c>
      <c r="G53" s="531">
        <v>8928844</v>
      </c>
      <c r="H53" s="531">
        <v>8930706</v>
      </c>
      <c r="I53" s="531">
        <v>9051182</v>
      </c>
      <c r="J53" s="531">
        <v>8928844</v>
      </c>
      <c r="K53" s="531">
        <v>9053042</v>
      </c>
      <c r="L53" s="531">
        <v>8924989</v>
      </c>
      <c r="M53" s="587"/>
      <c r="N53" s="587"/>
      <c r="O53" s="198">
        <v>89663073</v>
      </c>
      <c r="Q53" s="195"/>
    </row>
    <row r="54" spans="1:17" x14ac:dyDescent="0.2">
      <c r="A54" s="646"/>
      <c r="B54" s="197" t="s">
        <v>95</v>
      </c>
      <c r="C54" s="531">
        <v>0</v>
      </c>
      <c r="D54" s="531">
        <v>0</v>
      </c>
      <c r="E54" s="531">
        <v>0</v>
      </c>
      <c r="F54" s="531">
        <v>0</v>
      </c>
      <c r="G54" s="531">
        <v>0</v>
      </c>
      <c r="H54" s="531">
        <v>0</v>
      </c>
      <c r="I54" s="531">
        <v>0</v>
      </c>
      <c r="J54" s="531">
        <v>0</v>
      </c>
      <c r="K54" s="531">
        <v>0</v>
      </c>
      <c r="L54" s="531">
        <v>0</v>
      </c>
      <c r="M54" s="587"/>
      <c r="N54" s="587"/>
      <c r="O54" s="198">
        <v>0</v>
      </c>
      <c r="Q54" s="195"/>
    </row>
    <row r="55" spans="1:17" x14ac:dyDescent="0.2">
      <c r="A55" s="646"/>
      <c r="B55" s="197" t="s">
        <v>93</v>
      </c>
      <c r="C55" s="531">
        <v>0</v>
      </c>
      <c r="D55" s="531">
        <v>0</v>
      </c>
      <c r="E55" s="531">
        <v>0</v>
      </c>
      <c r="F55" s="531">
        <v>0</v>
      </c>
      <c r="G55" s="531">
        <v>0</v>
      </c>
      <c r="H55" s="531">
        <v>0</v>
      </c>
      <c r="I55" s="531">
        <v>0</v>
      </c>
      <c r="J55" s="531">
        <v>0</v>
      </c>
      <c r="K55" s="531">
        <v>466515</v>
      </c>
      <c r="L55" s="531">
        <v>0</v>
      </c>
      <c r="M55" s="587"/>
      <c r="N55" s="587"/>
      <c r="O55" s="198">
        <v>466515</v>
      </c>
      <c r="Q55" s="195"/>
    </row>
    <row r="56" spans="1:17" ht="31.5" x14ac:dyDescent="0.2">
      <c r="A56" s="646"/>
      <c r="B56" s="197" t="s">
        <v>388</v>
      </c>
      <c r="C56" s="531">
        <v>0</v>
      </c>
      <c r="D56" s="531">
        <v>0</v>
      </c>
      <c r="E56" s="531">
        <v>0</v>
      </c>
      <c r="F56" s="531">
        <v>0</v>
      </c>
      <c r="G56" s="531">
        <v>31210142</v>
      </c>
      <c r="H56" s="531">
        <v>30773025</v>
      </c>
      <c r="I56" s="531">
        <v>0</v>
      </c>
      <c r="J56" s="531">
        <v>0</v>
      </c>
      <c r="K56" s="531">
        <v>30773025</v>
      </c>
      <c r="L56" s="531">
        <v>0</v>
      </c>
      <c r="M56" s="587"/>
      <c r="N56" s="587"/>
      <c r="O56" s="198">
        <v>92756192</v>
      </c>
      <c r="Q56" s="195"/>
    </row>
    <row r="57" spans="1:17" ht="16.5" thickBot="1" x14ac:dyDescent="0.25">
      <c r="A57" s="646"/>
      <c r="B57" s="203" t="s">
        <v>161</v>
      </c>
      <c r="C57" s="531">
        <v>8254985</v>
      </c>
      <c r="D57" s="531">
        <v>368758</v>
      </c>
      <c r="E57" s="531">
        <v>3107353</v>
      </c>
      <c r="F57" s="531">
        <v>2803319</v>
      </c>
      <c r="G57" s="531">
        <v>-3739750</v>
      </c>
      <c r="H57" s="531">
        <v>-12724695</v>
      </c>
      <c r="I57" s="531">
        <v>-2396992</v>
      </c>
      <c r="J57" s="531">
        <v>-12977</v>
      </c>
      <c r="K57" s="531">
        <v>-8872759</v>
      </c>
      <c r="L57" s="531">
        <v>7703610</v>
      </c>
      <c r="M57" s="587"/>
      <c r="N57" s="587"/>
      <c r="O57" s="198">
        <v>-5509148</v>
      </c>
      <c r="Q57" s="195"/>
    </row>
    <row r="58" spans="1:17" ht="16.5" thickBot="1" x14ac:dyDescent="0.25">
      <c r="A58" s="647"/>
      <c r="B58" s="199" t="s">
        <v>75</v>
      </c>
      <c r="C58" s="200">
        <v>73860574</v>
      </c>
      <c r="D58" s="200">
        <v>146725375</v>
      </c>
      <c r="E58" s="200">
        <v>149017595</v>
      </c>
      <c r="F58" s="200">
        <v>76972988</v>
      </c>
      <c r="G58" s="200">
        <v>101732108</v>
      </c>
      <c r="H58" s="200">
        <v>104210818</v>
      </c>
      <c r="I58" s="200">
        <v>68409217</v>
      </c>
      <c r="J58" s="200">
        <v>70665266</v>
      </c>
      <c r="K58" s="200">
        <v>96752695</v>
      </c>
      <c r="L58" s="200">
        <v>82137125</v>
      </c>
      <c r="M58" s="200">
        <v>0</v>
      </c>
      <c r="N58" s="200">
        <v>0</v>
      </c>
      <c r="O58" s="201">
        <v>970483761</v>
      </c>
      <c r="Q58" s="195"/>
    </row>
    <row r="59" spans="1:17" s="206" customFormat="1" ht="16.5" thickBot="1" x14ac:dyDescent="0.25">
      <c r="A59" s="648"/>
      <c r="B59" s="204" t="s">
        <v>96</v>
      </c>
      <c r="C59" s="91">
        <v>5</v>
      </c>
      <c r="D59" s="91">
        <v>4</v>
      </c>
      <c r="E59" s="91">
        <v>4</v>
      </c>
      <c r="F59" s="91">
        <v>5</v>
      </c>
      <c r="G59" s="91">
        <v>4</v>
      </c>
      <c r="H59" s="91">
        <v>4</v>
      </c>
      <c r="I59" s="91">
        <v>5</v>
      </c>
      <c r="J59" s="91">
        <v>4</v>
      </c>
      <c r="K59" s="91">
        <v>4</v>
      </c>
      <c r="L59" s="91">
        <v>5</v>
      </c>
      <c r="M59" s="91">
        <v>4</v>
      </c>
      <c r="N59" s="91">
        <v>4</v>
      </c>
      <c r="O59" s="205">
        <v>52</v>
      </c>
      <c r="Q59" s="195"/>
    </row>
    <row r="60" spans="1:17" ht="16.5" thickBot="1" x14ac:dyDescent="0.25">
      <c r="A60" s="649"/>
      <c r="B60" s="199" t="s">
        <v>76</v>
      </c>
      <c r="C60" s="207">
        <v>682396059</v>
      </c>
      <c r="D60" s="207">
        <v>685327979</v>
      </c>
      <c r="E60" s="207">
        <v>541020806</v>
      </c>
      <c r="F60" s="207">
        <v>712047563</v>
      </c>
      <c r="G60" s="207">
        <v>605783734</v>
      </c>
      <c r="H60" s="207">
        <v>467549170</v>
      </c>
      <c r="I60" s="207">
        <v>699292214</v>
      </c>
      <c r="J60" s="207">
        <v>632556755</v>
      </c>
      <c r="K60" s="207">
        <v>503717760</v>
      </c>
      <c r="L60" s="207">
        <v>660432597</v>
      </c>
      <c r="M60" s="207">
        <v>0</v>
      </c>
      <c r="N60" s="207">
        <v>0</v>
      </c>
      <c r="O60" s="208">
        <v>6190124637</v>
      </c>
      <c r="P60" s="202"/>
      <c r="Q60" s="276"/>
    </row>
    <row r="61" spans="1:17" x14ac:dyDescent="0.2">
      <c r="A61" s="650" t="s">
        <v>24</v>
      </c>
      <c r="B61" s="651"/>
      <c r="C61" s="651"/>
      <c r="D61" s="651"/>
      <c r="E61" s="651"/>
      <c r="F61" s="651"/>
      <c r="G61" s="651"/>
      <c r="H61" s="651"/>
      <c r="I61" s="651"/>
      <c r="J61" s="651"/>
      <c r="K61" s="651"/>
      <c r="L61" s="651"/>
      <c r="M61" s="651"/>
      <c r="N61" s="651"/>
      <c r="O61" s="652"/>
      <c r="P61" s="211"/>
      <c r="Q61" s="276"/>
    </row>
    <row r="62" spans="1:17" hidden="1" x14ac:dyDescent="0.2">
      <c r="A62" s="653"/>
      <c r="B62" s="654"/>
      <c r="C62" s="654"/>
      <c r="D62" s="654"/>
      <c r="E62" s="654"/>
      <c r="F62" s="654"/>
      <c r="G62" s="654"/>
      <c r="H62" s="654"/>
      <c r="I62" s="654"/>
      <c r="J62" s="654"/>
      <c r="K62" s="654"/>
      <c r="L62" s="654"/>
      <c r="M62" s="654"/>
      <c r="N62" s="654"/>
      <c r="O62" s="655"/>
      <c r="P62" s="489"/>
      <c r="Q62" s="276"/>
    </row>
    <row r="63" spans="1:17" ht="31.5" x14ac:dyDescent="0.2">
      <c r="A63" s="653" t="s">
        <v>403</v>
      </c>
      <c r="B63" s="654"/>
      <c r="C63" s="654"/>
      <c r="D63" s="654"/>
      <c r="E63" s="654"/>
      <c r="F63" s="654"/>
      <c r="G63" s="654"/>
      <c r="H63" s="654"/>
      <c r="I63" s="654"/>
      <c r="J63" s="654"/>
      <c r="K63" s="654"/>
      <c r="L63" s="654"/>
      <c r="M63" s="654"/>
      <c r="N63" s="654"/>
      <c r="O63" s="655"/>
      <c r="P63" s="582" t="s">
        <v>340</v>
      </c>
      <c r="Q63" s="276"/>
    </row>
    <row r="64" spans="1:17" ht="18.75" x14ac:dyDescent="0.2">
      <c r="A64" s="653" t="s">
        <v>389</v>
      </c>
      <c r="B64" s="654"/>
      <c r="C64" s="654"/>
      <c r="D64" s="654"/>
      <c r="E64" s="654"/>
      <c r="F64" s="654"/>
      <c r="G64" s="654"/>
      <c r="H64" s="654"/>
      <c r="I64" s="654"/>
      <c r="J64" s="654"/>
      <c r="K64" s="654"/>
      <c r="L64" s="654"/>
      <c r="M64" s="654"/>
      <c r="N64" s="654"/>
      <c r="O64" s="655"/>
      <c r="P64" s="638"/>
      <c r="Q64" s="276"/>
    </row>
    <row r="65" ht="16.5" customHeight="1" x14ac:dyDescent="0.2"/>
    <row r="78" ht="16.5" customHeight="1" x14ac:dyDescent="0.2"/>
  </sheetData>
  <mergeCells count="11">
    <mergeCell ref="A59:A60"/>
    <mergeCell ref="A61:O61"/>
    <mergeCell ref="A62:O62"/>
    <mergeCell ref="A1:O1"/>
    <mergeCell ref="A3:A25"/>
    <mergeCell ref="A26:A38"/>
    <mergeCell ref="A39:A44"/>
    <mergeCell ref="A45:A48"/>
    <mergeCell ref="A49:A58"/>
    <mergeCell ref="A63:O63"/>
    <mergeCell ref="A64:O64"/>
  </mergeCells>
  <printOptions horizontalCentered="1" gridLines="1"/>
  <pageMargins left="0.28999999999999998" right="0.28999999999999998" top="0.7" bottom="0.43" header="0.3" footer="0.27"/>
  <pageSetup scale="41"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dimension ref="A1:AW153"/>
  <sheetViews>
    <sheetView view="pageBreakPreview" zoomScale="55" zoomScaleNormal="100" zoomScaleSheetLayoutView="55" workbookViewId="0">
      <selection activeCell="V129" sqref="V129"/>
    </sheetView>
  </sheetViews>
  <sheetFormatPr defaultColWidth="9.140625" defaultRowHeight="15.75" x14ac:dyDescent="0.25"/>
  <cols>
    <col min="1" max="1" width="9.140625" style="321"/>
    <col min="2" max="2" width="44.7109375" style="12" bestFit="1" customWidth="1"/>
    <col min="3" max="3" width="14" style="12" customWidth="1"/>
    <col min="4" max="4" width="8.5703125" style="12" hidden="1" customWidth="1"/>
    <col min="5" max="5" width="22.7109375" style="12" customWidth="1"/>
    <col min="6" max="6" width="14.42578125" style="12" bestFit="1" customWidth="1"/>
    <col min="7" max="7" width="14.28515625" style="12" customWidth="1"/>
    <col min="8" max="8" width="21.5703125" style="12" hidden="1" customWidth="1"/>
    <col min="9" max="9" width="21.140625" style="12" customWidth="1"/>
    <col min="10" max="18" width="10.5703125" style="12" customWidth="1"/>
    <col min="19" max="19" width="9.5703125" style="12" bestFit="1" customWidth="1"/>
    <col min="20" max="24" width="9.28515625" style="12" customWidth="1"/>
    <col min="25" max="26" width="9.5703125" style="12" bestFit="1" customWidth="1"/>
    <col min="27" max="27" width="10.140625" style="12" bestFit="1" customWidth="1"/>
    <col min="28" max="28" width="9.5703125" style="101" bestFit="1" customWidth="1"/>
    <col min="29" max="30" width="9.5703125" style="12" bestFit="1" customWidth="1"/>
    <col min="31" max="31" width="12.28515625" style="12" bestFit="1" customWidth="1"/>
    <col min="32" max="37" width="9.28515625" style="12" customWidth="1"/>
    <col min="38" max="38" width="9.140625" style="12"/>
    <col min="39" max="44" width="9.5703125" style="12" bestFit="1" customWidth="1"/>
    <col min="45" max="45" width="17" style="12" customWidth="1"/>
    <col min="46" max="47" width="9.5703125" style="12" bestFit="1" customWidth="1"/>
    <col min="48" max="49" width="9.42578125" style="12" bestFit="1" customWidth="1"/>
    <col min="50" max="16384" width="9.140625" style="12"/>
  </cols>
  <sheetData>
    <row r="1" spans="2:37" x14ac:dyDescent="0.25">
      <c r="B1" s="775" t="s">
        <v>104</v>
      </c>
      <c r="C1" s="776"/>
      <c r="D1" s="776"/>
      <c r="E1" s="776"/>
      <c r="F1" s="776"/>
      <c r="G1" s="776"/>
      <c r="H1" s="776"/>
      <c r="I1" s="776"/>
      <c r="J1" s="777"/>
      <c r="K1" s="36"/>
      <c r="L1" s="36"/>
      <c r="M1" s="36"/>
      <c r="N1" s="36"/>
      <c r="O1" s="36"/>
      <c r="P1" s="36"/>
      <c r="Q1" s="36"/>
      <c r="R1" s="36"/>
    </row>
    <row r="2" spans="2:37" ht="57.75" customHeight="1" x14ac:dyDescent="0.25">
      <c r="B2" s="510"/>
      <c r="C2" s="75" t="s">
        <v>286</v>
      </c>
      <c r="D2" s="76" t="s">
        <v>105</v>
      </c>
      <c r="E2" s="76" t="s">
        <v>287</v>
      </c>
      <c r="F2" s="77" t="s">
        <v>28</v>
      </c>
      <c r="G2" s="75" t="s">
        <v>288</v>
      </c>
      <c r="H2" s="76" t="s">
        <v>106</v>
      </c>
      <c r="I2" s="76" t="s">
        <v>289</v>
      </c>
      <c r="J2" s="511" t="s">
        <v>29</v>
      </c>
      <c r="K2" s="37"/>
      <c r="L2" s="37"/>
      <c r="M2" s="37"/>
      <c r="N2" s="37"/>
      <c r="O2" s="37"/>
      <c r="P2" s="37"/>
      <c r="Q2" s="37"/>
      <c r="R2" s="37"/>
      <c r="AB2" s="102"/>
      <c r="AH2" s="103"/>
      <c r="AI2" s="103"/>
    </row>
    <row r="3" spans="2:37" s="11" customFormat="1" ht="16.5" hidden="1" thickBot="1" x14ac:dyDescent="0.3">
      <c r="B3" s="217">
        <v>39995</v>
      </c>
      <c r="C3" s="25">
        <v>65349</v>
      </c>
      <c r="D3" s="26"/>
      <c r="E3" s="26">
        <f>[5]Kids!N145</f>
        <v>0</v>
      </c>
      <c r="F3" s="26"/>
      <c r="G3" s="25">
        <v>1621</v>
      </c>
      <c r="H3" s="26"/>
      <c r="I3" s="26">
        <f>[5]Prenatal!E90</f>
        <v>0</v>
      </c>
      <c r="J3" s="512">
        <f t="shared" ref="J3:J15" si="0">SUM(G3:I3)</f>
        <v>1621</v>
      </c>
      <c r="K3" s="28"/>
      <c r="L3" s="28"/>
      <c r="M3" s="28"/>
      <c r="N3" s="28"/>
      <c r="O3" s="28"/>
      <c r="P3" s="28"/>
      <c r="Q3" s="28"/>
      <c r="R3" s="28"/>
      <c r="AB3" s="102"/>
      <c r="AD3" s="28"/>
      <c r="AE3" s="104"/>
      <c r="AF3" s="104"/>
      <c r="AG3" s="104"/>
      <c r="AH3" s="105"/>
      <c r="AI3" s="106"/>
      <c r="AJ3" s="104"/>
      <c r="AK3" s="104"/>
    </row>
    <row r="4" spans="2:37" s="11" customFormat="1" ht="16.5" hidden="1" thickBot="1" x14ac:dyDescent="0.3">
      <c r="B4" s="217">
        <v>40026</v>
      </c>
      <c r="C4" s="27">
        <v>66531</v>
      </c>
      <c r="D4" s="28"/>
      <c r="E4" s="28">
        <f>[5]Kids!N146</f>
        <v>0</v>
      </c>
      <c r="F4" s="28"/>
      <c r="G4" s="27">
        <v>1568</v>
      </c>
      <c r="H4" s="28"/>
      <c r="I4" s="28">
        <f>[5]Prenatal!E91</f>
        <v>0</v>
      </c>
      <c r="J4" s="333">
        <f t="shared" si="0"/>
        <v>1568</v>
      </c>
      <c r="K4" s="28"/>
      <c r="L4" s="28"/>
      <c r="M4" s="28"/>
      <c r="N4" s="28"/>
      <c r="O4" s="28"/>
      <c r="P4" s="28"/>
      <c r="Q4" s="28"/>
      <c r="R4" s="28"/>
      <c r="S4" s="28"/>
      <c r="T4" s="28"/>
      <c r="U4" s="28"/>
      <c r="V4" s="28"/>
      <c r="W4" s="28"/>
      <c r="X4" s="28"/>
      <c r="Y4" s="28"/>
      <c r="Z4" s="28"/>
      <c r="AB4" s="102"/>
      <c r="AD4" s="28"/>
      <c r="AE4" s="104"/>
      <c r="AF4" s="9"/>
      <c r="AG4" s="9"/>
      <c r="AH4" s="105"/>
      <c r="AI4" s="106"/>
      <c r="AJ4" s="104"/>
      <c r="AK4" s="9"/>
    </row>
    <row r="5" spans="2:37" s="11" customFormat="1" ht="16.5" hidden="1" thickBot="1" x14ac:dyDescent="0.3">
      <c r="B5" s="217">
        <v>40057</v>
      </c>
      <c r="C5" s="27">
        <v>67239</v>
      </c>
      <c r="D5" s="28"/>
      <c r="E5" s="28">
        <f>[5]Kids!N147</f>
        <v>0</v>
      </c>
      <c r="F5" s="2">
        <f t="shared" ref="F5:F15" si="1">SUM(C5:E5)</f>
        <v>67239</v>
      </c>
      <c r="G5" s="27">
        <v>1571</v>
      </c>
      <c r="H5" s="28"/>
      <c r="I5" s="28">
        <f>[5]Prenatal!E92</f>
        <v>0</v>
      </c>
      <c r="J5" s="333">
        <f t="shared" si="0"/>
        <v>1571</v>
      </c>
      <c r="K5" s="28"/>
      <c r="L5" s="28"/>
      <c r="M5" s="28"/>
      <c r="N5" s="28"/>
      <c r="O5" s="28"/>
      <c r="P5" s="28"/>
      <c r="Q5" s="28"/>
      <c r="R5" s="28"/>
      <c r="S5" s="28"/>
      <c r="T5" s="28"/>
      <c r="U5" s="28"/>
      <c r="V5" s="28"/>
      <c r="W5" s="28"/>
      <c r="X5" s="28"/>
      <c r="Y5" s="28"/>
      <c r="Z5" s="28"/>
      <c r="AB5" s="102"/>
      <c r="AD5" s="28"/>
      <c r="AE5" s="104"/>
      <c r="AF5" s="9"/>
      <c r="AG5" s="9"/>
      <c r="AH5" s="105"/>
      <c r="AI5" s="106"/>
      <c r="AJ5" s="104"/>
      <c r="AK5" s="9"/>
    </row>
    <row r="6" spans="2:37" s="11" customFormat="1" ht="16.5" hidden="1" thickBot="1" x14ac:dyDescent="0.3">
      <c r="B6" s="217">
        <v>40087</v>
      </c>
      <c r="C6" s="27">
        <v>68234</v>
      </c>
      <c r="D6" s="28"/>
      <c r="E6" s="28">
        <f>[5]Kids!N148</f>
        <v>0</v>
      </c>
      <c r="F6" s="2">
        <f t="shared" si="1"/>
        <v>68234</v>
      </c>
      <c r="G6" s="27">
        <v>1561</v>
      </c>
      <c r="H6" s="28"/>
      <c r="I6" s="28">
        <f>[5]Prenatal!E93</f>
        <v>0</v>
      </c>
      <c r="J6" s="333">
        <f t="shared" si="0"/>
        <v>1561</v>
      </c>
      <c r="K6" s="28"/>
      <c r="L6" s="28"/>
      <c r="M6" s="28"/>
      <c r="N6" s="28"/>
      <c r="O6" s="28"/>
      <c r="P6" s="28"/>
      <c r="Q6" s="28"/>
      <c r="R6" s="28"/>
      <c r="S6" s="28"/>
      <c r="T6" s="28"/>
      <c r="U6" s="28"/>
      <c r="V6" s="28"/>
      <c r="W6" s="28"/>
      <c r="X6" s="28"/>
      <c r="Y6" s="28"/>
      <c r="Z6" s="28"/>
      <c r="AB6" s="102"/>
      <c r="AD6" s="28"/>
      <c r="AE6" s="104"/>
      <c r="AF6" s="9"/>
      <c r="AG6" s="9"/>
      <c r="AH6" s="105"/>
      <c r="AI6" s="106"/>
      <c r="AJ6" s="104"/>
      <c r="AK6" s="9"/>
    </row>
    <row r="7" spans="2:37" s="11" customFormat="1" ht="16.5" hidden="1" thickBot="1" x14ac:dyDescent="0.3">
      <c r="B7" s="217">
        <v>40118</v>
      </c>
      <c r="C7" s="27">
        <v>69011</v>
      </c>
      <c r="D7" s="28"/>
      <c r="E7" s="28">
        <f>[5]Kids!N149</f>
        <v>0</v>
      </c>
      <c r="F7" s="2">
        <f t="shared" si="1"/>
        <v>69011</v>
      </c>
      <c r="G7" s="27">
        <v>1563</v>
      </c>
      <c r="H7" s="28"/>
      <c r="I7" s="28">
        <f>[5]Prenatal!E94</f>
        <v>0</v>
      </c>
      <c r="J7" s="333">
        <f t="shared" si="0"/>
        <v>1563</v>
      </c>
      <c r="K7" s="28"/>
      <c r="L7" s="28"/>
      <c r="M7" s="28"/>
      <c r="N7" s="28"/>
      <c r="O7" s="28"/>
      <c r="P7" s="28"/>
      <c r="Q7" s="28"/>
      <c r="R7" s="28"/>
      <c r="S7" s="28"/>
      <c r="T7" s="28"/>
      <c r="U7" s="28"/>
      <c r="V7" s="28"/>
      <c r="W7" s="28"/>
      <c r="X7" s="28"/>
      <c r="Y7" s="28"/>
      <c r="Z7" s="28"/>
      <c r="AB7" s="102"/>
      <c r="AD7" s="28"/>
      <c r="AE7" s="104"/>
      <c r="AF7" s="9"/>
      <c r="AG7" s="9"/>
      <c r="AH7" s="105"/>
      <c r="AI7" s="106"/>
      <c r="AJ7" s="104"/>
      <c r="AK7" s="9"/>
    </row>
    <row r="8" spans="2:37" s="11" customFormat="1" ht="16.5" hidden="1" thickBot="1" x14ac:dyDescent="0.3">
      <c r="B8" s="217">
        <v>40148</v>
      </c>
      <c r="C8" s="27">
        <v>69640</v>
      </c>
      <c r="D8" s="28"/>
      <c r="E8" s="28">
        <f>[5]Kids!N150</f>
        <v>0</v>
      </c>
      <c r="F8" s="2">
        <f t="shared" si="1"/>
        <v>69640</v>
      </c>
      <c r="G8" s="27">
        <v>1528</v>
      </c>
      <c r="H8" s="28"/>
      <c r="I8" s="28">
        <f>[5]Prenatal!E95</f>
        <v>0</v>
      </c>
      <c r="J8" s="333">
        <f t="shared" si="0"/>
        <v>1528</v>
      </c>
      <c r="K8" s="28"/>
      <c r="L8" s="28"/>
      <c r="M8" s="28"/>
      <c r="N8" s="28"/>
      <c r="O8" s="28"/>
      <c r="P8" s="28"/>
      <c r="Q8" s="28"/>
      <c r="R8" s="28"/>
      <c r="S8" s="28"/>
      <c r="T8" s="28"/>
      <c r="U8" s="28"/>
      <c r="V8" s="28"/>
      <c r="W8" s="28"/>
      <c r="X8" s="28"/>
      <c r="Y8" s="28"/>
      <c r="Z8" s="28"/>
      <c r="AB8" s="102"/>
      <c r="AD8" s="28"/>
      <c r="AE8" s="104"/>
      <c r="AF8" s="9"/>
      <c r="AG8" s="9"/>
      <c r="AH8" s="105"/>
      <c r="AI8" s="106"/>
      <c r="AJ8" s="104"/>
      <c r="AK8" s="9"/>
    </row>
    <row r="9" spans="2:37" s="11" customFormat="1" ht="16.5" hidden="1" thickBot="1" x14ac:dyDescent="0.3">
      <c r="B9" s="217">
        <v>40179</v>
      </c>
      <c r="C9" s="27">
        <v>70186</v>
      </c>
      <c r="D9" s="28"/>
      <c r="E9" s="28">
        <f>[5]Kids!N151</f>
        <v>0</v>
      </c>
      <c r="F9" s="2">
        <f t="shared" si="1"/>
        <v>70186</v>
      </c>
      <c r="G9" s="27">
        <v>1532</v>
      </c>
      <c r="H9" s="28"/>
      <c r="I9" s="28">
        <f>[5]Prenatal!E96</f>
        <v>0</v>
      </c>
      <c r="J9" s="333">
        <f t="shared" si="0"/>
        <v>1532</v>
      </c>
      <c r="K9" s="28"/>
      <c r="L9" s="28"/>
      <c r="M9" s="28"/>
      <c r="N9" s="28"/>
      <c r="O9" s="28"/>
      <c r="P9" s="28"/>
      <c r="Q9" s="28"/>
      <c r="R9" s="28"/>
      <c r="S9" s="28"/>
      <c r="T9" s="28"/>
      <c r="U9" s="28"/>
      <c r="V9" s="28"/>
      <c r="W9" s="28"/>
      <c r="X9" s="28"/>
      <c r="Y9" s="28"/>
      <c r="Z9" s="28"/>
      <c r="AB9" s="102"/>
      <c r="AD9" s="28"/>
      <c r="AE9" s="104"/>
      <c r="AF9" s="9"/>
      <c r="AG9" s="9"/>
      <c r="AH9" s="105"/>
      <c r="AI9" s="106"/>
      <c r="AJ9" s="104"/>
      <c r="AK9" s="9"/>
    </row>
    <row r="10" spans="2:37" s="11" customFormat="1" ht="16.5" hidden="1" thickBot="1" x14ac:dyDescent="0.3">
      <c r="B10" s="217">
        <v>40210</v>
      </c>
      <c r="C10" s="27">
        <v>69887</v>
      </c>
      <c r="D10" s="28"/>
      <c r="E10" s="28">
        <f>[5]Kids!N152</f>
        <v>0</v>
      </c>
      <c r="F10" s="2">
        <f t="shared" si="1"/>
        <v>69887</v>
      </c>
      <c r="G10" s="27">
        <v>1523</v>
      </c>
      <c r="H10" s="28"/>
      <c r="I10" s="28">
        <f>[5]Prenatal!E97</f>
        <v>0</v>
      </c>
      <c r="J10" s="333">
        <f t="shared" si="0"/>
        <v>1523</v>
      </c>
      <c r="K10" s="28"/>
      <c r="L10" s="28"/>
      <c r="M10" s="28"/>
      <c r="N10" s="28"/>
      <c r="O10" s="28"/>
      <c r="P10" s="28"/>
      <c r="Q10" s="28"/>
      <c r="R10" s="28"/>
      <c r="S10" s="28"/>
      <c r="T10" s="28"/>
      <c r="U10" s="28"/>
      <c r="V10" s="28"/>
      <c r="W10" s="28"/>
      <c r="X10" s="28"/>
      <c r="Y10" s="28"/>
      <c r="Z10" s="28"/>
      <c r="AB10" s="102"/>
      <c r="AD10" s="28"/>
      <c r="AE10" s="104"/>
      <c r="AF10" s="9"/>
      <c r="AG10" s="9"/>
      <c r="AH10" s="105"/>
      <c r="AI10" s="106"/>
      <c r="AJ10" s="104"/>
      <c r="AK10" s="9"/>
    </row>
    <row r="11" spans="2:37" s="11" customFormat="1" ht="16.5" hidden="1" thickBot="1" x14ac:dyDescent="0.3">
      <c r="B11" s="217">
        <v>40238</v>
      </c>
      <c r="C11" s="27">
        <v>70212</v>
      </c>
      <c r="D11" s="28"/>
      <c r="E11" s="28">
        <f>[5]Kids!N153</f>
        <v>0</v>
      </c>
      <c r="F11" s="2">
        <f t="shared" si="1"/>
        <v>70212</v>
      </c>
      <c r="G11" s="27">
        <v>1550</v>
      </c>
      <c r="H11" s="28"/>
      <c r="I11" s="28">
        <f>[5]Prenatal!E98</f>
        <v>0</v>
      </c>
      <c r="J11" s="333">
        <f t="shared" si="0"/>
        <v>1550</v>
      </c>
      <c r="K11" s="28"/>
      <c r="L11" s="28"/>
      <c r="M11" s="28"/>
      <c r="N11" s="28"/>
      <c r="O11" s="28"/>
      <c r="P11" s="28"/>
      <c r="Q11" s="28"/>
      <c r="R11" s="28"/>
      <c r="S11" s="28"/>
      <c r="T11" s="28"/>
      <c r="U11" s="28"/>
      <c r="V11" s="28"/>
      <c r="W11" s="28"/>
      <c r="X11" s="28"/>
      <c r="Y11" s="28"/>
      <c r="Z11" s="28"/>
      <c r="AB11" s="102"/>
      <c r="AD11" s="28"/>
      <c r="AE11" s="104"/>
      <c r="AF11" s="9"/>
      <c r="AG11" s="9"/>
      <c r="AH11" s="105"/>
      <c r="AI11" s="106"/>
      <c r="AJ11" s="104"/>
      <c r="AK11" s="9"/>
    </row>
    <row r="12" spans="2:37" s="11" customFormat="1" ht="16.5" hidden="1" thickBot="1" x14ac:dyDescent="0.3">
      <c r="B12" s="217">
        <v>40269</v>
      </c>
      <c r="C12" s="27">
        <v>69663</v>
      </c>
      <c r="D12" s="28"/>
      <c r="E12" s="28">
        <f>[5]Kids!N154</f>
        <v>0</v>
      </c>
      <c r="F12" s="2">
        <f t="shared" si="1"/>
        <v>69663</v>
      </c>
      <c r="G12" s="27">
        <v>1517</v>
      </c>
      <c r="H12" s="28"/>
      <c r="I12" s="28">
        <f>[5]Prenatal!E99</f>
        <v>0</v>
      </c>
      <c r="J12" s="333">
        <f t="shared" si="0"/>
        <v>1517</v>
      </c>
      <c r="K12" s="28"/>
      <c r="L12" s="28"/>
      <c r="M12" s="28"/>
      <c r="N12" s="28"/>
      <c r="O12" s="28"/>
      <c r="P12" s="28"/>
      <c r="Q12" s="28"/>
      <c r="R12" s="28"/>
      <c r="S12" s="28"/>
      <c r="T12" s="28"/>
      <c r="U12" s="28"/>
      <c r="V12" s="28"/>
      <c r="W12" s="28"/>
      <c r="X12" s="28"/>
      <c r="Y12" s="28"/>
      <c r="Z12" s="28"/>
      <c r="AB12" s="102"/>
      <c r="AD12" s="28"/>
      <c r="AE12" s="104"/>
      <c r="AF12" s="9"/>
      <c r="AG12" s="9"/>
      <c r="AH12" s="105"/>
      <c r="AI12" s="106"/>
      <c r="AJ12" s="104"/>
      <c r="AK12" s="9"/>
    </row>
    <row r="13" spans="2:37" s="11" customFormat="1" ht="16.5" hidden="1" thickBot="1" x14ac:dyDescent="0.3">
      <c r="B13" s="217">
        <v>40299</v>
      </c>
      <c r="C13" s="27">
        <v>68771</v>
      </c>
      <c r="D13" s="28"/>
      <c r="E13" s="28">
        <f>[5]Kids!N155</f>
        <v>600</v>
      </c>
      <c r="F13" s="2">
        <f t="shared" si="1"/>
        <v>69371</v>
      </c>
      <c r="G13" s="27">
        <v>1529</v>
      </c>
      <c r="H13" s="28"/>
      <c r="I13" s="28">
        <f>[5]Prenatal!E100</f>
        <v>46</v>
      </c>
      <c r="J13" s="333">
        <f t="shared" si="0"/>
        <v>1575</v>
      </c>
      <c r="K13" s="28"/>
      <c r="L13" s="28"/>
      <c r="M13" s="28"/>
      <c r="N13" s="28"/>
      <c r="O13" s="28"/>
      <c r="P13" s="28"/>
      <c r="Q13" s="28"/>
      <c r="R13" s="28"/>
      <c r="S13" s="28"/>
      <c r="T13" s="28"/>
      <c r="U13" s="28"/>
      <c r="V13" s="28"/>
      <c r="W13" s="28"/>
      <c r="X13" s="28"/>
      <c r="Y13" s="28"/>
      <c r="Z13" s="28"/>
      <c r="AB13" s="102"/>
      <c r="AD13" s="28"/>
      <c r="AE13" s="104"/>
      <c r="AF13" s="9"/>
      <c r="AG13" s="9"/>
      <c r="AH13" s="105"/>
      <c r="AI13" s="106"/>
      <c r="AJ13" s="104"/>
      <c r="AK13" s="9"/>
    </row>
    <row r="14" spans="2:37" s="11" customFormat="1" ht="16.5" hidden="1" thickBot="1" x14ac:dyDescent="0.3">
      <c r="B14" s="217">
        <v>40330</v>
      </c>
      <c r="C14" s="27">
        <v>68340</v>
      </c>
      <c r="D14" s="28"/>
      <c r="E14" s="28">
        <f>[5]Kids!N156</f>
        <v>1029</v>
      </c>
      <c r="F14" s="2">
        <f t="shared" si="1"/>
        <v>69369</v>
      </c>
      <c r="G14" s="27">
        <v>1524</v>
      </c>
      <c r="H14" s="28"/>
      <c r="I14" s="28">
        <f>[5]Prenatal!E101</f>
        <v>83</v>
      </c>
      <c r="J14" s="333">
        <f t="shared" si="0"/>
        <v>1607</v>
      </c>
      <c r="K14" s="28"/>
      <c r="L14" s="28"/>
      <c r="M14" s="28"/>
      <c r="N14" s="28"/>
      <c r="O14" s="28"/>
      <c r="P14" s="28"/>
      <c r="Q14" s="28"/>
      <c r="R14" s="28"/>
      <c r="S14" s="28"/>
      <c r="T14" s="28"/>
      <c r="U14" s="28"/>
      <c r="V14" s="28"/>
      <c r="W14" s="28"/>
      <c r="X14" s="28"/>
      <c r="Y14" s="28"/>
      <c r="Z14" s="28"/>
      <c r="AB14" s="102"/>
      <c r="AD14" s="28"/>
      <c r="AE14" s="104"/>
      <c r="AF14" s="9"/>
      <c r="AG14" s="9"/>
      <c r="AH14" s="105"/>
      <c r="AI14" s="106"/>
      <c r="AJ14" s="104"/>
      <c r="AK14" s="9"/>
    </row>
    <row r="15" spans="2:37" s="107" customFormat="1" ht="16.5" hidden="1" thickBot="1" x14ac:dyDescent="0.3">
      <c r="B15" s="219" t="s">
        <v>97</v>
      </c>
      <c r="C15" s="29">
        <f>ROUND(AVERAGE(C3:C14),0)</f>
        <v>68589</v>
      </c>
      <c r="D15" s="30"/>
      <c r="E15" s="30">
        <f>ROUND(AVERAGE(E3:E14),0)</f>
        <v>136</v>
      </c>
      <c r="F15" s="20">
        <f t="shared" si="1"/>
        <v>68725</v>
      </c>
      <c r="G15" s="29">
        <f>ROUND(AVERAGE(G3:G14),0)</f>
        <v>1549</v>
      </c>
      <c r="H15" s="30"/>
      <c r="I15" s="30">
        <f>ROUND(AVERAGE(I3:I14),0)</f>
        <v>11</v>
      </c>
      <c r="J15" s="513">
        <f t="shared" si="0"/>
        <v>1560</v>
      </c>
      <c r="K15" s="30"/>
      <c r="L15" s="30"/>
      <c r="M15" s="30"/>
      <c r="N15" s="30"/>
      <c r="O15" s="30"/>
      <c r="P15" s="30"/>
      <c r="Q15" s="30"/>
      <c r="R15" s="30"/>
      <c r="AB15" s="102"/>
      <c r="AC15" s="11"/>
      <c r="AH15" s="105"/>
      <c r="AI15" s="108"/>
    </row>
    <row r="16" spans="2:37" ht="16.5" hidden="1" thickBot="1" x14ac:dyDescent="0.3">
      <c r="B16" s="217">
        <v>40360</v>
      </c>
      <c r="C16" s="27">
        <v>1338</v>
      </c>
      <c r="D16" s="28"/>
      <c r="E16" s="28">
        <f>[5]Kids!N158</f>
        <v>1511</v>
      </c>
      <c r="F16" s="2">
        <f t="shared" ref="F16:F21" si="2">SUM(C16:E16)</f>
        <v>2849</v>
      </c>
      <c r="G16" s="27">
        <v>1485</v>
      </c>
      <c r="H16" s="28"/>
      <c r="I16" s="28">
        <f>[5]Prenatal!E103</f>
        <v>124</v>
      </c>
      <c r="J16" s="333">
        <f t="shared" ref="J16:J21" si="3">SUM(G16:I16)</f>
        <v>1609</v>
      </c>
      <c r="K16" s="28"/>
      <c r="L16" s="28"/>
      <c r="M16" s="28"/>
      <c r="N16" s="28"/>
      <c r="O16" s="28"/>
      <c r="P16" s="28"/>
      <c r="Q16" s="28"/>
      <c r="R16" s="28"/>
      <c r="S16" s="13"/>
      <c r="T16" s="13"/>
      <c r="U16" s="13"/>
      <c r="V16" s="13"/>
      <c r="W16" s="13"/>
      <c r="X16" s="13"/>
      <c r="Y16" s="13"/>
      <c r="AB16" s="109"/>
      <c r="AC16" s="110"/>
      <c r="AD16" s="28"/>
      <c r="AE16" s="104"/>
      <c r="AF16" s="9"/>
      <c r="AG16" s="9"/>
      <c r="AH16" s="105"/>
      <c r="AI16" s="106"/>
      <c r="AJ16" s="104"/>
      <c r="AK16" s="9"/>
    </row>
    <row r="17" spans="2:49" ht="16.5" hidden="1" thickBot="1" x14ac:dyDescent="0.3">
      <c r="B17" s="217">
        <v>40391</v>
      </c>
      <c r="C17" s="27">
        <v>67389</v>
      </c>
      <c r="D17" s="28"/>
      <c r="E17" s="28">
        <f>[5]Kids!N159</f>
        <v>2018</v>
      </c>
      <c r="F17" s="2">
        <f t="shared" si="2"/>
        <v>69407</v>
      </c>
      <c r="G17" s="27">
        <v>1488</v>
      </c>
      <c r="H17" s="28"/>
      <c r="I17" s="28">
        <f>[5]Prenatal!E104</f>
        <v>162</v>
      </c>
      <c r="J17" s="333">
        <f t="shared" si="3"/>
        <v>1650</v>
      </c>
      <c r="K17" s="28"/>
      <c r="L17" s="28"/>
      <c r="M17" s="28"/>
      <c r="N17" s="28"/>
      <c r="O17" s="28"/>
      <c r="P17" s="28"/>
      <c r="Q17" s="28"/>
      <c r="R17" s="28"/>
      <c r="S17" s="13"/>
      <c r="T17" s="13"/>
      <c r="U17" s="13"/>
      <c r="V17" s="13"/>
      <c r="W17" s="13"/>
      <c r="X17" s="13"/>
      <c r="Y17" s="13"/>
      <c r="Z17" s="13"/>
      <c r="AB17" s="102"/>
      <c r="AD17" s="28"/>
      <c r="AE17" s="104"/>
      <c r="AF17" s="9"/>
      <c r="AG17" s="9"/>
      <c r="AH17" s="105"/>
      <c r="AI17" s="106"/>
      <c r="AJ17" s="104"/>
      <c r="AK17" s="9"/>
    </row>
    <row r="18" spans="2:49" ht="16.5" hidden="1" thickBot="1" x14ac:dyDescent="0.3">
      <c r="B18" s="217">
        <v>40422</v>
      </c>
      <c r="C18" s="27">
        <v>65824</v>
      </c>
      <c r="D18" s="28"/>
      <c r="E18" s="28">
        <f>[5]Kids!N160</f>
        <v>2505</v>
      </c>
      <c r="F18" s="2">
        <f t="shared" si="2"/>
        <v>68329</v>
      </c>
      <c r="G18" s="27">
        <v>1457</v>
      </c>
      <c r="H18" s="28"/>
      <c r="I18" s="28">
        <f>[5]Prenatal!E105</f>
        <v>187</v>
      </c>
      <c r="J18" s="333">
        <f t="shared" si="3"/>
        <v>1644</v>
      </c>
      <c r="K18" s="28"/>
      <c r="L18" s="28"/>
      <c r="M18" s="28"/>
      <c r="N18" s="28"/>
      <c r="O18" s="28"/>
      <c r="P18" s="28"/>
      <c r="Q18" s="28"/>
      <c r="R18" s="28"/>
      <c r="S18" s="13"/>
      <c r="T18" s="13"/>
      <c r="U18" s="13"/>
      <c r="V18" s="13"/>
      <c r="W18" s="13"/>
      <c r="X18" s="13"/>
      <c r="Y18" s="13"/>
      <c r="Z18" s="13"/>
      <c r="AB18" s="102"/>
      <c r="AD18" s="28"/>
      <c r="AE18" s="104"/>
      <c r="AF18" s="9"/>
      <c r="AG18" s="9"/>
      <c r="AH18" s="105"/>
      <c r="AI18" s="106"/>
      <c r="AJ18" s="104"/>
      <c r="AK18" s="9"/>
    </row>
    <row r="19" spans="2:49" ht="16.5" hidden="1" thickBot="1" x14ac:dyDescent="0.3">
      <c r="B19" s="217">
        <v>40452</v>
      </c>
      <c r="C19" s="27">
        <v>63930</v>
      </c>
      <c r="D19" s="28"/>
      <c r="E19" s="28">
        <f>[5]Kids!N161</f>
        <v>2935</v>
      </c>
      <c r="F19" s="2">
        <f t="shared" si="2"/>
        <v>66865</v>
      </c>
      <c r="G19" s="27">
        <v>1417</v>
      </c>
      <c r="H19" s="28"/>
      <c r="I19" s="28">
        <f>[5]Prenatal!E106</f>
        <v>206</v>
      </c>
      <c r="J19" s="333">
        <f t="shared" si="3"/>
        <v>1623</v>
      </c>
      <c r="K19" s="28"/>
      <c r="L19" s="28"/>
      <c r="M19" s="28"/>
      <c r="N19" s="28"/>
      <c r="O19" s="28"/>
      <c r="P19" s="28"/>
      <c r="Q19" s="28"/>
      <c r="R19" s="28"/>
      <c r="S19" s="13"/>
      <c r="T19" s="13"/>
      <c r="U19" s="13"/>
      <c r="V19" s="13"/>
      <c r="W19" s="13"/>
      <c r="X19" s="13"/>
      <c r="Y19" s="13"/>
      <c r="Z19" s="13"/>
      <c r="AB19" s="102"/>
      <c r="AD19" s="28"/>
      <c r="AE19" s="104"/>
      <c r="AF19" s="9"/>
      <c r="AG19" s="9"/>
      <c r="AH19" s="105"/>
      <c r="AI19" s="106"/>
      <c r="AJ19" s="104"/>
      <c r="AK19" s="9"/>
    </row>
    <row r="20" spans="2:49" ht="16.5" hidden="1" thickBot="1" x14ac:dyDescent="0.3">
      <c r="B20" s="217">
        <v>40483</v>
      </c>
      <c r="C20" s="27">
        <v>63053</v>
      </c>
      <c r="D20" s="28"/>
      <c r="E20" s="28">
        <f>[5]Kids!N162</f>
        <v>3342</v>
      </c>
      <c r="F20" s="2">
        <f t="shared" si="2"/>
        <v>66395</v>
      </c>
      <c r="G20" s="27">
        <v>1424</v>
      </c>
      <c r="H20" s="28"/>
      <c r="I20" s="28">
        <f>[5]Prenatal!E107</f>
        <v>228</v>
      </c>
      <c r="J20" s="333">
        <f t="shared" si="3"/>
        <v>1652</v>
      </c>
      <c r="K20" s="28"/>
      <c r="L20" s="28"/>
      <c r="M20" s="28"/>
      <c r="N20" s="28"/>
      <c r="O20" s="28"/>
      <c r="P20" s="28"/>
      <c r="Q20" s="28"/>
      <c r="R20" s="28"/>
      <c r="S20" s="13"/>
      <c r="T20" s="13"/>
      <c r="U20" s="13"/>
      <c r="V20" s="13"/>
      <c r="W20" s="13"/>
      <c r="X20" s="13"/>
      <c r="Y20" s="13"/>
      <c r="Z20" s="13"/>
      <c r="AB20" s="102"/>
      <c r="AD20" s="28"/>
      <c r="AE20" s="104"/>
      <c r="AF20" s="9"/>
      <c r="AG20" s="9"/>
      <c r="AH20" s="105"/>
      <c r="AI20" s="106"/>
      <c r="AJ20" s="104"/>
      <c r="AK20" s="9"/>
    </row>
    <row r="21" spans="2:49" ht="16.5" hidden="1" thickBot="1" x14ac:dyDescent="0.3">
      <c r="B21" s="217">
        <v>40513</v>
      </c>
      <c r="C21" s="27">
        <v>62818</v>
      </c>
      <c r="D21" s="28"/>
      <c r="E21" s="28">
        <f>[5]Kids!N163</f>
        <v>3759</v>
      </c>
      <c r="F21" s="2">
        <f t="shared" si="2"/>
        <v>66577</v>
      </c>
      <c r="G21" s="27">
        <v>1431</v>
      </c>
      <c r="H21" s="28"/>
      <c r="I21" s="28">
        <f>[5]Prenatal!E108</f>
        <v>270</v>
      </c>
      <c r="J21" s="333">
        <f t="shared" si="3"/>
        <v>1701</v>
      </c>
      <c r="K21" s="28"/>
      <c r="L21" s="28"/>
      <c r="M21" s="28"/>
      <c r="N21" s="28"/>
      <c r="O21" s="28"/>
      <c r="P21" s="28"/>
      <c r="Q21" s="28"/>
      <c r="R21" s="28"/>
      <c r="S21" s="13"/>
      <c r="T21" s="13"/>
      <c r="U21" s="13"/>
      <c r="V21" s="13"/>
      <c r="W21" s="13"/>
      <c r="X21" s="13"/>
      <c r="Y21" s="13"/>
      <c r="Z21" s="13"/>
      <c r="AA21" s="13"/>
      <c r="AB21" s="102"/>
      <c r="AD21" s="28"/>
      <c r="AE21" s="104"/>
      <c r="AF21" s="9"/>
      <c r="AG21" s="9"/>
      <c r="AH21" s="105"/>
      <c r="AI21" s="106"/>
      <c r="AJ21" s="104"/>
      <c r="AK21" s="9"/>
    </row>
    <row r="22" spans="2:49" ht="16.5" hidden="1" thickBot="1" x14ac:dyDescent="0.3">
      <c r="B22" s="217">
        <v>40544</v>
      </c>
      <c r="C22" s="27">
        <v>63103</v>
      </c>
      <c r="D22" s="28"/>
      <c r="E22" s="28">
        <f>[5]Kids!N164</f>
        <v>4316</v>
      </c>
      <c r="F22" s="2">
        <f t="shared" ref="F22:F29" si="4">SUM(C22:E22)</f>
        <v>67419</v>
      </c>
      <c r="G22" s="27">
        <v>1477</v>
      </c>
      <c r="H22" s="28"/>
      <c r="I22" s="28">
        <f>[5]Prenatal!E109</f>
        <v>325</v>
      </c>
      <c r="J22" s="333">
        <f t="shared" ref="J22:J29" si="5">SUM(G22:I22)</f>
        <v>1802</v>
      </c>
      <c r="K22" s="28"/>
      <c r="L22" s="28"/>
      <c r="M22" s="28"/>
      <c r="N22" s="28"/>
      <c r="O22" s="28"/>
      <c r="P22" s="28"/>
      <c r="Q22" s="28"/>
      <c r="R22" s="28"/>
      <c r="S22" s="13"/>
      <c r="T22" s="13"/>
      <c r="U22" s="13"/>
      <c r="V22" s="13"/>
      <c r="W22" s="13"/>
      <c r="X22" s="13"/>
      <c r="Y22" s="13"/>
      <c r="Z22" s="13"/>
      <c r="AB22" s="102"/>
      <c r="AD22" s="28"/>
      <c r="AE22" s="104"/>
      <c r="AF22" s="9"/>
      <c r="AG22" s="9"/>
      <c r="AH22" s="105"/>
      <c r="AI22" s="106"/>
      <c r="AJ22" s="104"/>
      <c r="AK22" s="9"/>
    </row>
    <row r="23" spans="2:49" ht="16.5" hidden="1" thickBot="1" x14ac:dyDescent="0.3">
      <c r="B23" s="217">
        <v>40575</v>
      </c>
      <c r="C23" s="27">
        <v>62932</v>
      </c>
      <c r="D23" s="28"/>
      <c r="E23" s="28">
        <f>[5]Kids!N165</f>
        <v>4888</v>
      </c>
      <c r="F23" s="2">
        <f t="shared" si="4"/>
        <v>67820</v>
      </c>
      <c r="G23" s="27">
        <v>1478</v>
      </c>
      <c r="H23" s="28"/>
      <c r="I23" s="28">
        <f>[5]Prenatal!E110</f>
        <v>357</v>
      </c>
      <c r="J23" s="333">
        <f t="shared" si="5"/>
        <v>1835</v>
      </c>
      <c r="K23" s="28"/>
      <c r="L23" s="28"/>
      <c r="M23" s="28"/>
      <c r="N23" s="28"/>
      <c r="O23" s="28"/>
      <c r="P23" s="28"/>
      <c r="Q23" s="28"/>
      <c r="R23" s="28"/>
      <c r="S23" s="13"/>
      <c r="T23" s="13"/>
      <c r="U23" s="13"/>
      <c r="V23" s="13"/>
      <c r="W23" s="13"/>
      <c r="X23" s="13"/>
      <c r="Y23" s="13"/>
      <c r="Z23" s="13"/>
      <c r="AB23" s="102"/>
      <c r="AD23" s="28"/>
      <c r="AE23" s="104"/>
      <c r="AF23" s="9"/>
      <c r="AG23" s="9"/>
      <c r="AH23" s="105"/>
      <c r="AI23" s="106"/>
      <c r="AJ23" s="104"/>
      <c r="AK23" s="9"/>
    </row>
    <row r="24" spans="2:49" ht="16.5" hidden="1" thickBot="1" x14ac:dyDescent="0.3">
      <c r="B24" s="217">
        <v>40603</v>
      </c>
      <c r="C24" s="27">
        <v>63205</v>
      </c>
      <c r="D24" s="28"/>
      <c r="E24" s="28">
        <f>[5]Kids!N166</f>
        <v>5358</v>
      </c>
      <c r="F24" s="2">
        <f t="shared" si="4"/>
        <v>68563</v>
      </c>
      <c r="G24" s="27">
        <v>1514</v>
      </c>
      <c r="H24" s="28"/>
      <c r="I24" s="28">
        <f>[5]Prenatal!E111</f>
        <v>361</v>
      </c>
      <c r="J24" s="333">
        <f t="shared" si="5"/>
        <v>1875</v>
      </c>
      <c r="K24" s="28"/>
      <c r="L24" s="28"/>
      <c r="M24" s="28"/>
      <c r="N24" s="28"/>
      <c r="O24" s="28"/>
      <c r="P24" s="28"/>
      <c r="Q24" s="28"/>
      <c r="R24" s="28"/>
      <c r="S24" s="13"/>
      <c r="T24" s="13"/>
      <c r="U24" s="13"/>
      <c r="V24" s="13"/>
      <c r="W24" s="13"/>
      <c r="X24" s="13"/>
      <c r="Y24" s="13"/>
      <c r="Z24" s="13"/>
      <c r="AB24" s="102"/>
      <c r="AD24" s="28"/>
      <c r="AE24" s="104"/>
      <c r="AF24" s="9"/>
      <c r="AG24" s="9"/>
      <c r="AH24" s="105"/>
      <c r="AI24" s="106"/>
      <c r="AJ24" s="104"/>
      <c r="AK24" s="9"/>
    </row>
    <row r="25" spans="2:49" ht="16.5" hidden="1" thickBot="1" x14ac:dyDescent="0.3">
      <c r="B25" s="217">
        <v>40634</v>
      </c>
      <c r="C25" s="27">
        <v>61947</v>
      </c>
      <c r="D25" s="28"/>
      <c r="E25" s="28">
        <f>[5]Kids!N167</f>
        <v>5674</v>
      </c>
      <c r="F25" s="2">
        <f t="shared" si="4"/>
        <v>67621</v>
      </c>
      <c r="G25" s="27">
        <v>1512</v>
      </c>
      <c r="H25" s="28"/>
      <c r="I25" s="28">
        <f>[5]Prenatal!E112</f>
        <v>355</v>
      </c>
      <c r="J25" s="333">
        <f t="shared" si="5"/>
        <v>1867</v>
      </c>
      <c r="K25" s="28"/>
      <c r="L25" s="28"/>
      <c r="M25" s="28"/>
      <c r="N25" s="28"/>
      <c r="O25" s="28"/>
      <c r="P25" s="28"/>
      <c r="Q25" s="28"/>
      <c r="R25" s="28"/>
      <c r="S25" s="13"/>
      <c r="T25" s="13"/>
      <c r="U25" s="13"/>
      <c r="V25" s="13"/>
      <c r="W25" s="13"/>
      <c r="X25" s="13"/>
      <c r="Y25" s="13"/>
      <c r="Z25" s="13"/>
      <c r="AB25" s="102"/>
      <c r="AD25" s="28"/>
      <c r="AE25" s="104"/>
      <c r="AF25" s="9"/>
      <c r="AG25" s="9"/>
      <c r="AH25" s="105"/>
      <c r="AI25" s="106"/>
      <c r="AJ25" s="104"/>
      <c r="AK25" s="9"/>
    </row>
    <row r="26" spans="2:49" ht="16.5" hidden="1" thickBot="1" x14ac:dyDescent="0.3">
      <c r="B26" s="217">
        <v>40664</v>
      </c>
      <c r="C26" s="27">
        <v>59210</v>
      </c>
      <c r="D26" s="28"/>
      <c r="E26" s="28">
        <f>[5]Kids!N168</f>
        <v>5872</v>
      </c>
      <c r="F26" s="2">
        <f t="shared" si="4"/>
        <v>65082</v>
      </c>
      <c r="G26" s="27">
        <v>1498</v>
      </c>
      <c r="H26" s="28"/>
      <c r="I26" s="28">
        <f>[5]Prenatal!E113</f>
        <v>342</v>
      </c>
      <c r="J26" s="333">
        <f t="shared" si="5"/>
        <v>1840</v>
      </c>
      <c r="K26" s="28"/>
      <c r="L26" s="28"/>
      <c r="M26" s="28"/>
      <c r="N26" s="28"/>
      <c r="O26" s="28"/>
      <c r="P26" s="28"/>
      <c r="Q26" s="28"/>
      <c r="R26" s="28"/>
      <c r="S26" s="13"/>
      <c r="T26" s="13"/>
      <c r="U26" s="13"/>
      <c r="V26" s="13"/>
      <c r="W26" s="13"/>
      <c r="X26" s="13"/>
      <c r="Y26" s="13"/>
      <c r="Z26" s="13"/>
      <c r="AB26" s="102"/>
      <c r="AD26" s="28"/>
      <c r="AE26" s="104"/>
      <c r="AF26" s="9"/>
      <c r="AG26" s="9"/>
      <c r="AH26" s="105"/>
      <c r="AI26" s="106"/>
      <c r="AJ26" s="104"/>
      <c r="AK26" s="9"/>
    </row>
    <row r="27" spans="2:49" ht="16.5" hidden="1" thickBot="1" x14ac:dyDescent="0.3">
      <c r="B27" s="217">
        <v>40695</v>
      </c>
      <c r="C27" s="27">
        <v>57858</v>
      </c>
      <c r="D27" s="28"/>
      <c r="E27" s="28">
        <f>[5]Kids!N169</f>
        <v>6098</v>
      </c>
      <c r="F27" s="2">
        <f t="shared" si="4"/>
        <v>63956</v>
      </c>
      <c r="G27" s="27">
        <v>1455</v>
      </c>
      <c r="H27" s="28"/>
      <c r="I27" s="28">
        <f>[5]Prenatal!E114</f>
        <v>349</v>
      </c>
      <c r="J27" s="333">
        <f t="shared" si="5"/>
        <v>1804</v>
      </c>
      <c r="K27" s="28"/>
      <c r="L27" s="28"/>
      <c r="M27" s="28"/>
      <c r="N27" s="28"/>
      <c r="O27" s="28"/>
      <c r="P27" s="28"/>
      <c r="Q27" s="28"/>
      <c r="R27" s="28"/>
      <c r="S27" s="13"/>
      <c r="T27" s="13"/>
      <c r="U27" s="13"/>
      <c r="V27" s="13"/>
      <c r="W27" s="13"/>
      <c r="X27" s="13"/>
      <c r="Y27" s="13"/>
      <c r="Z27" s="13"/>
      <c r="AB27" s="102"/>
      <c r="AD27" s="28"/>
      <c r="AE27" s="104"/>
      <c r="AF27" s="9"/>
      <c r="AG27" s="9"/>
      <c r="AH27" s="105"/>
      <c r="AI27" s="106"/>
      <c r="AJ27" s="104"/>
      <c r="AK27" s="9"/>
    </row>
    <row r="28" spans="2:49" ht="16.5" hidden="1" thickBot="1" x14ac:dyDescent="0.3">
      <c r="B28" s="219" t="s">
        <v>102</v>
      </c>
      <c r="C28" s="29">
        <f>ROUND(AVERAGE(C16:C27),0)</f>
        <v>57717</v>
      </c>
      <c r="D28" s="30"/>
      <c r="E28" s="30">
        <f>ROUND(AVERAGE(E16:E27),0)</f>
        <v>4023</v>
      </c>
      <c r="F28" s="20">
        <f t="shared" si="4"/>
        <v>61740</v>
      </c>
      <c r="G28" s="29">
        <f>ROUND(AVERAGE(G16:G27),0)</f>
        <v>1470</v>
      </c>
      <c r="H28" s="30"/>
      <c r="I28" s="30">
        <f>ROUND(AVERAGE(I16:I27),0)</f>
        <v>272</v>
      </c>
      <c r="J28" s="513">
        <f t="shared" si="5"/>
        <v>1742</v>
      </c>
      <c r="K28" s="32"/>
      <c r="L28" s="32"/>
      <c r="M28" s="32"/>
      <c r="N28" s="32"/>
      <c r="O28" s="32"/>
      <c r="P28" s="32"/>
      <c r="Q28" s="32"/>
      <c r="R28" s="32"/>
      <c r="AB28" s="102"/>
      <c r="AH28" s="105"/>
      <c r="AI28" s="108"/>
      <c r="AL28" s="111"/>
      <c r="AM28" s="112"/>
      <c r="AN28" s="112"/>
      <c r="AO28" s="112" t="s">
        <v>107</v>
      </c>
      <c r="AP28" s="112" t="s">
        <v>108</v>
      </c>
      <c r="AQ28" s="112" t="s">
        <v>109</v>
      </c>
      <c r="AR28" s="112" t="s">
        <v>110</v>
      </c>
      <c r="AS28" s="113"/>
      <c r="AT28" s="113" t="s">
        <v>38</v>
      </c>
    </row>
    <row r="29" spans="2:49" ht="16.5" hidden="1" thickBot="1" x14ac:dyDescent="0.3">
      <c r="B29" s="217">
        <v>40725</v>
      </c>
      <c r="C29" s="27">
        <v>57349</v>
      </c>
      <c r="D29" s="28"/>
      <c r="E29" s="28">
        <f>[5]Kids!N171</f>
        <v>6320</v>
      </c>
      <c r="F29" s="2">
        <f t="shared" si="4"/>
        <v>63669</v>
      </c>
      <c r="G29" s="27">
        <v>1511</v>
      </c>
      <c r="H29" s="28"/>
      <c r="I29" s="28">
        <f>[5]Prenatal!E116</f>
        <v>357</v>
      </c>
      <c r="J29" s="333">
        <f t="shared" si="5"/>
        <v>1868</v>
      </c>
      <c r="K29" s="28"/>
      <c r="L29" s="28"/>
      <c r="M29" s="28"/>
      <c r="N29" s="28"/>
      <c r="O29" s="28"/>
      <c r="P29" s="28"/>
      <c r="Q29" s="28"/>
      <c r="R29" s="28"/>
      <c r="S29" s="26"/>
      <c r="T29" s="26"/>
      <c r="U29" s="26"/>
      <c r="V29" s="26"/>
      <c r="W29" s="26"/>
      <c r="X29" s="26"/>
      <c r="Y29" s="26"/>
      <c r="Z29" s="26"/>
      <c r="AA29" s="110"/>
      <c r="AB29" s="109"/>
      <c r="AC29" s="110"/>
      <c r="AD29" s="26"/>
      <c r="AE29" s="114"/>
      <c r="AF29" s="115"/>
      <c r="AG29" s="115"/>
      <c r="AH29" s="105"/>
      <c r="AI29" s="106"/>
      <c r="AJ29" s="104"/>
      <c r="AK29" s="115"/>
      <c r="AL29" s="111"/>
      <c r="AM29" s="111"/>
      <c r="AN29" s="116"/>
      <c r="AO29" s="116">
        <v>3833</v>
      </c>
      <c r="AP29" s="116"/>
      <c r="AQ29" s="116"/>
      <c r="AR29" s="116"/>
      <c r="AS29" s="116"/>
      <c r="AT29" s="116" t="s">
        <v>111</v>
      </c>
      <c r="AU29" s="111" t="s">
        <v>112</v>
      </c>
      <c r="AV29" s="111"/>
      <c r="AW29" s="111"/>
    </row>
    <row r="30" spans="2:49" ht="16.5" hidden="1" thickBot="1" x14ac:dyDescent="0.3">
      <c r="B30" s="217">
        <v>40756</v>
      </c>
      <c r="C30" s="27">
        <v>57625</v>
      </c>
      <c r="D30" s="28"/>
      <c r="E30" s="28">
        <f>[5]Kids!N172</f>
        <v>6444</v>
      </c>
      <c r="F30" s="2">
        <f t="shared" ref="F30:F36" si="6">SUM(C30:E30)</f>
        <v>64069</v>
      </c>
      <c r="G30" s="27">
        <v>1567</v>
      </c>
      <c r="H30" s="28"/>
      <c r="I30" s="28">
        <f>[5]Prenatal!E117</f>
        <v>355</v>
      </c>
      <c r="J30" s="333">
        <f t="shared" ref="J30:J36" si="7">SUM(G30:I30)</f>
        <v>1922</v>
      </c>
      <c r="K30" s="28"/>
      <c r="L30" s="28"/>
      <c r="M30" s="28"/>
      <c r="N30" s="28"/>
      <c r="O30" s="28"/>
      <c r="P30" s="28"/>
      <c r="Q30" s="28"/>
      <c r="R30" s="28"/>
      <c r="S30" s="13"/>
      <c r="T30" s="13"/>
      <c r="U30" s="13"/>
      <c r="V30" s="13"/>
      <c r="W30" s="13"/>
      <c r="X30" s="13"/>
      <c r="Y30" s="13"/>
      <c r="Z30" s="13"/>
      <c r="AB30" s="102"/>
      <c r="AD30" s="28"/>
      <c r="AE30" s="104"/>
      <c r="AF30" s="9"/>
      <c r="AG30" s="9"/>
      <c r="AH30" s="105"/>
      <c r="AI30" s="106"/>
      <c r="AJ30" s="104"/>
      <c r="AK30" s="9"/>
      <c r="AL30" s="111"/>
      <c r="AM30" s="111"/>
      <c r="AN30" s="116"/>
      <c r="AO30" s="116">
        <v>3409</v>
      </c>
      <c r="AP30" s="116">
        <v>3534</v>
      </c>
      <c r="AQ30" s="116">
        <v>5894</v>
      </c>
      <c r="AR30" s="116">
        <v>601</v>
      </c>
      <c r="AS30" s="21">
        <v>40756</v>
      </c>
      <c r="AT30" s="116">
        <f>SUM(AM30:AR30)</f>
        <v>13438</v>
      </c>
      <c r="AU30" s="117">
        <f>F30</f>
        <v>64069</v>
      </c>
      <c r="AV30" s="118">
        <f>+AU30-AT30</f>
        <v>50631</v>
      </c>
      <c r="AW30" s="119">
        <f>+AV30/AU30</f>
        <v>0.79025737876352053</v>
      </c>
    </row>
    <row r="31" spans="2:49" ht="16.5" hidden="1" thickBot="1" x14ac:dyDescent="0.3">
      <c r="B31" s="217">
        <v>40787</v>
      </c>
      <c r="C31" s="27">
        <v>57506</v>
      </c>
      <c r="D31" s="28"/>
      <c r="E31" s="28">
        <f>[5]Kids!N173</f>
        <v>7275</v>
      </c>
      <c r="F31" s="2">
        <f t="shared" si="6"/>
        <v>64781</v>
      </c>
      <c r="G31" s="27">
        <v>1533</v>
      </c>
      <c r="H31" s="28"/>
      <c r="I31" s="28">
        <f>[5]Prenatal!E118</f>
        <v>377</v>
      </c>
      <c r="J31" s="333">
        <f t="shared" si="7"/>
        <v>1910</v>
      </c>
      <c r="K31" s="28"/>
      <c r="L31" s="28"/>
      <c r="M31" s="28"/>
      <c r="N31" s="28"/>
      <c r="O31" s="28"/>
      <c r="P31" s="28"/>
      <c r="Q31" s="28"/>
      <c r="R31" s="28"/>
      <c r="S31" s="13"/>
      <c r="T31" s="13"/>
      <c r="U31" s="13"/>
      <c r="V31" s="13"/>
      <c r="W31" s="13"/>
      <c r="X31" s="13"/>
      <c r="Y31" s="13"/>
      <c r="Z31" s="13"/>
      <c r="AB31" s="102"/>
      <c r="AD31" s="28"/>
      <c r="AE31" s="104"/>
      <c r="AF31" s="9"/>
      <c r="AG31" s="9"/>
      <c r="AH31" s="105"/>
      <c r="AI31" s="106"/>
      <c r="AJ31" s="104"/>
      <c r="AK31" s="9"/>
      <c r="AL31" s="111"/>
      <c r="AM31" s="116"/>
      <c r="AN31" s="116"/>
      <c r="AO31" s="116">
        <v>4475</v>
      </c>
      <c r="AP31" s="120">
        <f>+AP30*($AO31/$AO30)</f>
        <v>4639.0877090055737</v>
      </c>
      <c r="AQ31" s="116">
        <v>5619</v>
      </c>
      <c r="AR31" s="120">
        <f>+AR30*($AO31/$AO30)</f>
        <v>788.93370489879726</v>
      </c>
      <c r="AS31" s="21">
        <v>40787</v>
      </c>
      <c r="AT31" s="116">
        <f>SUM(AM31:AR31)</f>
        <v>15522.021413904371</v>
      </c>
      <c r="AU31" s="117">
        <f>F31</f>
        <v>64781</v>
      </c>
      <c r="AV31" s="118">
        <f>+AU31-AT31</f>
        <v>49258.978586095633</v>
      </c>
      <c r="AW31" s="119">
        <f>+AV31/AU31</f>
        <v>0.76039237717996999</v>
      </c>
    </row>
    <row r="32" spans="2:49" ht="16.5" hidden="1" thickBot="1" x14ac:dyDescent="0.3">
      <c r="B32" s="217">
        <v>40817</v>
      </c>
      <c r="C32" s="27">
        <v>58766</v>
      </c>
      <c r="D32" s="28"/>
      <c r="E32" s="28">
        <f>[5]Kids!N174</f>
        <v>8075</v>
      </c>
      <c r="F32" s="2">
        <f t="shared" si="6"/>
        <v>66841</v>
      </c>
      <c r="G32" s="27">
        <v>1550</v>
      </c>
      <c r="H32" s="28"/>
      <c r="I32" s="28">
        <f>[5]Prenatal!E119</f>
        <v>375</v>
      </c>
      <c r="J32" s="333">
        <f t="shared" si="7"/>
        <v>1925</v>
      </c>
      <c r="K32" s="28"/>
      <c r="L32" s="28"/>
      <c r="M32" s="28"/>
      <c r="N32" s="28"/>
      <c r="O32" s="28"/>
      <c r="P32" s="28"/>
      <c r="Q32" s="28"/>
      <c r="R32" s="28"/>
      <c r="S32" s="13"/>
      <c r="T32" s="13"/>
      <c r="U32" s="13"/>
      <c r="V32" s="13"/>
      <c r="W32" s="13"/>
      <c r="X32" s="13"/>
      <c r="Y32" s="13"/>
      <c r="Z32" s="13"/>
      <c r="AB32" s="102"/>
      <c r="AC32" s="11"/>
      <c r="AD32" s="28"/>
      <c r="AE32" s="104"/>
      <c r="AF32" s="9"/>
      <c r="AG32" s="9"/>
      <c r="AH32" s="105"/>
      <c r="AI32" s="106"/>
      <c r="AJ32" s="104"/>
      <c r="AK32" s="9"/>
      <c r="AO32" s="12">
        <v>4586</v>
      </c>
      <c r="AP32" s="120">
        <f t="shared" ref="AP32:AR33" si="8">+AP31*($AO32/$AO31)</f>
        <v>4754.1578175418017</v>
      </c>
      <c r="AQ32" s="12">
        <v>6373</v>
      </c>
      <c r="AR32" s="120">
        <f t="shared" si="8"/>
        <v>808.50278674097967</v>
      </c>
      <c r="AS32" s="21">
        <v>40817</v>
      </c>
      <c r="AT32" s="116">
        <f>SUM(AM32:AR32)</f>
        <v>16521.660604282781</v>
      </c>
      <c r="AU32" s="117">
        <f>F32</f>
        <v>66841</v>
      </c>
      <c r="AV32" s="118">
        <f>+AU32-AT32</f>
        <v>50319.339395717223</v>
      </c>
      <c r="AW32" s="119">
        <f>+AV32/AU32</f>
        <v>0.75282146281050888</v>
      </c>
    </row>
    <row r="33" spans="1:46" ht="16.5" hidden="1" thickBot="1" x14ac:dyDescent="0.3">
      <c r="B33" s="217">
        <v>40848</v>
      </c>
      <c r="C33" s="27">
        <v>59551</v>
      </c>
      <c r="D33" s="28"/>
      <c r="E33" s="28">
        <f>[5]Kids!N175</f>
        <v>10493</v>
      </c>
      <c r="F33" s="2">
        <f t="shared" si="6"/>
        <v>70044</v>
      </c>
      <c r="G33" s="27">
        <v>1493</v>
      </c>
      <c r="H33" s="28"/>
      <c r="I33" s="28">
        <f>[5]Prenatal!E120</f>
        <v>451</v>
      </c>
      <c r="J33" s="333">
        <f t="shared" si="7"/>
        <v>1944</v>
      </c>
      <c r="K33" s="28"/>
      <c r="L33" s="28"/>
      <c r="M33" s="28"/>
      <c r="N33" s="28"/>
      <c r="O33" s="28"/>
      <c r="P33" s="28"/>
      <c r="Q33" s="28"/>
      <c r="R33" s="28"/>
      <c r="S33" s="13"/>
      <c r="T33" s="13"/>
      <c r="U33" s="13"/>
      <c r="V33" s="13"/>
      <c r="W33" s="13"/>
      <c r="X33" s="13"/>
      <c r="Y33" s="13"/>
      <c r="Z33" s="13"/>
      <c r="AB33" s="102"/>
      <c r="AC33" s="11"/>
      <c r="AD33" s="28"/>
      <c r="AE33" s="104"/>
      <c r="AF33" s="9"/>
      <c r="AG33" s="9"/>
      <c r="AH33" s="105"/>
      <c r="AI33" s="106"/>
      <c r="AJ33" s="104"/>
      <c r="AK33" s="9"/>
      <c r="AO33" s="12">
        <v>4983</v>
      </c>
      <c r="AP33" s="120">
        <f t="shared" si="8"/>
        <v>5165.7148723965975</v>
      </c>
      <c r="AQ33" s="12">
        <v>7098</v>
      </c>
      <c r="AR33" s="120">
        <f t="shared" si="8"/>
        <v>878.49310648283938</v>
      </c>
      <c r="AS33" s="121"/>
      <c r="AT33" s="122">
        <f>SUM(AM33:AR33)</f>
        <v>18125.207978879436</v>
      </c>
    </row>
    <row r="34" spans="1:46" ht="16.5" hidden="1" thickBot="1" x14ac:dyDescent="0.3">
      <c r="B34" s="217">
        <v>40878</v>
      </c>
      <c r="C34" s="27">
        <v>59699</v>
      </c>
      <c r="D34" s="28"/>
      <c r="E34" s="28">
        <f>[5]Kids!N176</f>
        <v>12338</v>
      </c>
      <c r="F34" s="2">
        <f t="shared" si="6"/>
        <v>72037</v>
      </c>
      <c r="G34" s="27">
        <v>1506</v>
      </c>
      <c r="H34" s="28"/>
      <c r="I34" s="28">
        <f>[5]Prenatal!E121</f>
        <v>487</v>
      </c>
      <c r="J34" s="333">
        <f t="shared" si="7"/>
        <v>1993</v>
      </c>
      <c r="K34" s="28"/>
      <c r="L34" s="28"/>
      <c r="M34" s="28"/>
      <c r="N34" s="28"/>
      <c r="O34" s="28"/>
      <c r="P34" s="28"/>
      <c r="Q34" s="28"/>
      <c r="R34" s="28"/>
      <c r="S34" s="13"/>
      <c r="T34" s="13"/>
      <c r="U34" s="13"/>
      <c r="V34" s="13"/>
      <c r="W34" s="13"/>
      <c r="X34" s="13"/>
      <c r="Y34" s="13"/>
      <c r="Z34" s="13"/>
      <c r="AB34" s="102"/>
      <c r="AC34" s="11"/>
      <c r="AD34" s="28"/>
      <c r="AE34" s="104"/>
      <c r="AF34" s="9"/>
      <c r="AG34" s="9"/>
      <c r="AH34" s="105"/>
      <c r="AI34" s="106"/>
      <c r="AJ34" s="104"/>
      <c r="AK34" s="9"/>
    </row>
    <row r="35" spans="1:46" ht="16.5" hidden="1" thickBot="1" x14ac:dyDescent="0.3">
      <c r="B35" s="217">
        <v>40909</v>
      </c>
      <c r="C35" s="27">
        <v>64289</v>
      </c>
      <c r="D35" s="28"/>
      <c r="E35" s="28">
        <f>[5]Kids!N177</f>
        <v>12985</v>
      </c>
      <c r="F35" s="2">
        <f t="shared" si="6"/>
        <v>77274</v>
      </c>
      <c r="G35" s="27">
        <v>1590</v>
      </c>
      <c r="H35" s="28"/>
      <c r="I35" s="28">
        <f>[5]Prenatal!E122</f>
        <v>498</v>
      </c>
      <c r="J35" s="333">
        <f t="shared" si="7"/>
        <v>2088</v>
      </c>
      <c r="K35" s="28"/>
      <c r="L35" s="28"/>
      <c r="M35" s="28"/>
      <c r="N35" s="28"/>
      <c r="O35" s="28"/>
      <c r="P35" s="28"/>
      <c r="Q35" s="28"/>
      <c r="R35" s="28"/>
      <c r="S35" s="13"/>
      <c r="T35" s="13"/>
      <c r="U35" s="13"/>
      <c r="V35" s="13"/>
      <c r="W35" s="13"/>
      <c r="X35" s="13"/>
      <c r="Y35" s="13"/>
      <c r="Z35" s="13"/>
      <c r="AB35" s="102"/>
      <c r="AD35" s="28"/>
      <c r="AE35" s="104"/>
      <c r="AF35" s="9"/>
      <c r="AG35" s="9"/>
      <c r="AH35" s="105"/>
      <c r="AI35" s="106"/>
      <c r="AJ35" s="104"/>
      <c r="AK35" s="13"/>
      <c r="AT35" s="123" t="s">
        <v>113</v>
      </c>
    </row>
    <row r="36" spans="1:46" ht="16.5" hidden="1" thickBot="1" x14ac:dyDescent="0.3">
      <c r="B36" s="514">
        <v>40940</v>
      </c>
      <c r="C36" s="27">
        <v>66199</v>
      </c>
      <c r="D36" s="28"/>
      <c r="E36" s="28">
        <f>[5]Kids!N178</f>
        <v>13250</v>
      </c>
      <c r="F36" s="2">
        <f t="shared" si="6"/>
        <v>79449</v>
      </c>
      <c r="G36" s="27">
        <v>1722</v>
      </c>
      <c r="H36" s="28"/>
      <c r="I36" s="28">
        <f>[5]Prenatal!E123</f>
        <v>494</v>
      </c>
      <c r="J36" s="333">
        <f t="shared" si="7"/>
        <v>2216</v>
      </c>
      <c r="K36" s="28"/>
      <c r="L36" s="28"/>
      <c r="M36" s="28"/>
      <c r="N36" s="28"/>
      <c r="O36" s="28"/>
      <c r="P36" s="28"/>
      <c r="Q36" s="28"/>
      <c r="R36" s="28"/>
      <c r="S36" s="13"/>
      <c r="T36" s="13"/>
      <c r="U36" s="13"/>
      <c r="V36" s="13"/>
      <c r="W36" s="13"/>
      <c r="X36" s="13"/>
      <c r="Y36" s="13"/>
      <c r="Z36" s="13"/>
      <c r="AB36" s="102"/>
      <c r="AD36" s="28"/>
      <c r="AE36" s="104"/>
      <c r="AF36" s="9"/>
      <c r="AG36" s="9"/>
      <c r="AH36" s="105"/>
      <c r="AI36" s="106"/>
      <c r="AJ36" s="104"/>
      <c r="AK36" s="13"/>
    </row>
    <row r="37" spans="1:46" ht="16.5" hidden="1" thickBot="1" x14ac:dyDescent="0.3">
      <c r="B37" s="217">
        <v>40969</v>
      </c>
      <c r="C37" s="27">
        <v>68051</v>
      </c>
      <c r="D37" s="28"/>
      <c r="E37" s="28">
        <f>[5]Kids!N179</f>
        <v>13774</v>
      </c>
      <c r="F37" s="2">
        <f>SUM(C37:E37)</f>
        <v>81825</v>
      </c>
      <c r="G37" s="27">
        <v>1738</v>
      </c>
      <c r="H37" s="28"/>
      <c r="I37" s="28">
        <f>[5]Prenatal!E124</f>
        <v>525</v>
      </c>
      <c r="J37" s="333">
        <f>SUM(G37:I37)</f>
        <v>2263</v>
      </c>
      <c r="K37" s="28"/>
      <c r="L37" s="28"/>
      <c r="M37" s="28"/>
      <c r="N37" s="28"/>
      <c r="O37" s="28"/>
      <c r="P37" s="28"/>
      <c r="Q37" s="28"/>
      <c r="R37" s="28"/>
      <c r="S37" s="13"/>
      <c r="T37" s="13"/>
      <c r="U37" s="13"/>
      <c r="V37" s="13"/>
      <c r="W37" s="13"/>
      <c r="X37" s="13"/>
      <c r="Y37" s="13"/>
      <c r="Z37" s="13"/>
      <c r="AB37" s="102"/>
      <c r="AD37" s="28"/>
      <c r="AE37" s="104"/>
      <c r="AF37" s="9"/>
      <c r="AG37" s="9"/>
      <c r="AH37" s="105"/>
      <c r="AI37" s="106"/>
      <c r="AJ37" s="104"/>
      <c r="AK37" s="13"/>
    </row>
    <row r="38" spans="1:46" ht="16.5" hidden="1" thickBot="1" x14ac:dyDescent="0.3">
      <c r="B38" s="217">
        <v>41000</v>
      </c>
      <c r="C38" s="27">
        <v>70560</v>
      </c>
      <c r="D38" s="28"/>
      <c r="E38" s="28">
        <f>[5]Kids!N180</f>
        <v>13492</v>
      </c>
      <c r="F38" s="2">
        <f>SUM(C38:E38)</f>
        <v>84052</v>
      </c>
      <c r="G38" s="27">
        <v>1736</v>
      </c>
      <c r="H38" s="28"/>
      <c r="I38" s="28">
        <f>[5]Prenatal!E125</f>
        <v>494</v>
      </c>
      <c r="J38" s="333">
        <f>SUM(G38:I38)</f>
        <v>2230</v>
      </c>
      <c r="K38" s="28"/>
      <c r="L38" s="28"/>
      <c r="M38" s="28"/>
      <c r="N38" s="28"/>
      <c r="O38" s="28"/>
      <c r="P38" s="28"/>
      <c r="Q38" s="28"/>
      <c r="R38" s="28"/>
      <c r="S38" s="13"/>
      <c r="T38" s="13"/>
      <c r="U38" s="13"/>
      <c r="V38" s="13"/>
      <c r="W38" s="13"/>
      <c r="X38" s="13"/>
      <c r="Y38" s="13"/>
      <c r="Z38" s="13"/>
      <c r="AB38" s="102"/>
      <c r="AD38" s="28"/>
      <c r="AE38" s="104"/>
      <c r="AF38" s="9"/>
      <c r="AG38" s="9"/>
      <c r="AH38" s="105"/>
      <c r="AI38" s="106"/>
      <c r="AJ38" s="104"/>
      <c r="AK38" s="13"/>
    </row>
    <row r="39" spans="1:46" ht="16.5" hidden="1" thickBot="1" x14ac:dyDescent="0.3">
      <c r="B39" s="217">
        <v>41030</v>
      </c>
      <c r="C39" s="27">
        <v>70121</v>
      </c>
      <c r="D39" s="28"/>
      <c r="E39" s="28">
        <f>[5]Kids!N181</f>
        <v>14169</v>
      </c>
      <c r="F39" s="2">
        <f>SUM(C39:E39)</f>
        <v>84290</v>
      </c>
      <c r="G39" s="27">
        <v>1737</v>
      </c>
      <c r="H39" s="28"/>
      <c r="I39" s="28">
        <f>[5]Prenatal!E126</f>
        <v>494</v>
      </c>
      <c r="J39" s="333">
        <f>SUM(G39:I39)</f>
        <v>2231</v>
      </c>
      <c r="K39" s="28"/>
      <c r="L39" s="28"/>
      <c r="M39" s="28"/>
      <c r="N39" s="28"/>
      <c r="O39" s="28"/>
      <c r="P39" s="28"/>
      <c r="Q39" s="28"/>
      <c r="R39" s="28"/>
      <c r="S39" s="13"/>
      <c r="T39" s="13"/>
      <c r="U39" s="13"/>
      <c r="V39" s="13"/>
      <c r="W39" s="13"/>
      <c r="X39" s="13"/>
      <c r="Y39" s="13"/>
      <c r="Z39" s="13"/>
      <c r="AB39" s="102"/>
      <c r="AD39" s="28"/>
      <c r="AE39" s="104"/>
      <c r="AF39" s="9"/>
      <c r="AG39" s="9"/>
      <c r="AH39" s="105"/>
      <c r="AI39" s="106"/>
      <c r="AJ39" s="104"/>
      <c r="AK39" s="13"/>
    </row>
    <row r="40" spans="1:46" ht="16.5" hidden="1" thickBot="1" x14ac:dyDescent="0.3">
      <c r="B40" s="217">
        <v>41061</v>
      </c>
      <c r="C40" s="27">
        <v>68881</v>
      </c>
      <c r="D40" s="28"/>
      <c r="E40" s="28">
        <f>[5]Kids!N182</f>
        <v>13975</v>
      </c>
      <c r="F40" s="2">
        <f>SUM(C40:E40)</f>
        <v>82856</v>
      </c>
      <c r="G40" s="27">
        <v>1713</v>
      </c>
      <c r="H40" s="28"/>
      <c r="I40" s="28">
        <f>[5]Prenatal!E127</f>
        <v>466</v>
      </c>
      <c r="J40" s="333">
        <f>SUM(G40:I40)</f>
        <v>2179</v>
      </c>
      <c r="K40" s="28"/>
      <c r="L40" s="28"/>
      <c r="M40" s="28"/>
      <c r="N40" s="28"/>
      <c r="O40" s="28"/>
      <c r="P40" s="28"/>
      <c r="Q40" s="28"/>
      <c r="R40" s="28"/>
      <c r="S40" s="13"/>
      <c r="T40" s="13"/>
      <c r="U40" s="13"/>
      <c r="V40" s="13"/>
      <c r="W40" s="13"/>
      <c r="X40" s="13"/>
      <c r="Y40" s="13"/>
      <c r="Z40" s="13"/>
      <c r="AB40" s="102"/>
      <c r="AD40" s="28"/>
      <c r="AE40" s="104"/>
      <c r="AF40" s="9"/>
      <c r="AG40" s="9"/>
      <c r="AH40" s="105"/>
      <c r="AI40" s="106"/>
      <c r="AJ40" s="104"/>
      <c r="AK40" s="13"/>
    </row>
    <row r="41" spans="1:46" ht="16.5" hidden="1" thickBot="1" x14ac:dyDescent="0.3">
      <c r="B41" s="221" t="s">
        <v>114</v>
      </c>
      <c r="C41" s="52">
        <f>ROUND(AVERAGE(C29:C40),0)</f>
        <v>63216</v>
      </c>
      <c r="D41" s="53"/>
      <c r="E41" s="53">
        <f t="shared" ref="E41:J41" si="9">ROUND(AVERAGE(E29:E40),0)</f>
        <v>11049</v>
      </c>
      <c r="F41" s="53">
        <f t="shared" si="9"/>
        <v>74266</v>
      </c>
      <c r="G41" s="41">
        <f t="shared" si="9"/>
        <v>1616</v>
      </c>
      <c r="H41" s="42"/>
      <c r="I41" s="42">
        <f t="shared" si="9"/>
        <v>448</v>
      </c>
      <c r="J41" s="515">
        <f t="shared" si="9"/>
        <v>2064</v>
      </c>
      <c r="K41" s="28"/>
      <c r="L41" s="28"/>
      <c r="M41" s="28"/>
      <c r="N41" s="28"/>
      <c r="O41" s="32"/>
      <c r="P41" s="32"/>
      <c r="Q41" s="32"/>
      <c r="R41" s="32"/>
      <c r="AB41" s="102"/>
      <c r="AD41" s="28"/>
      <c r="AE41" s="104"/>
      <c r="AF41" s="9"/>
      <c r="AG41" s="9"/>
      <c r="AH41" s="105"/>
      <c r="AI41" s="108"/>
      <c r="AJ41" s="9"/>
      <c r="AK41" s="9"/>
    </row>
    <row r="42" spans="1:46" ht="16.5" hidden="1" thickBot="1" x14ac:dyDescent="0.3">
      <c r="A42" s="359">
        <f>IF(C42="",0,1)</f>
        <v>1</v>
      </c>
      <c r="B42" s="217">
        <v>41091</v>
      </c>
      <c r="C42" s="49">
        <v>69977</v>
      </c>
      <c r="D42" s="50"/>
      <c r="E42" s="50">
        <f>[5]Kids!N184</f>
        <v>13731</v>
      </c>
      <c r="F42" s="51">
        <f t="shared" ref="F42:F47" si="10">SUM(C42:E42)</f>
        <v>83708</v>
      </c>
      <c r="G42" s="49">
        <v>1694</v>
      </c>
      <c r="H42" s="50"/>
      <c r="I42" s="50">
        <f>[5]Prenatal!E129</f>
        <v>452</v>
      </c>
      <c r="J42" s="516">
        <f t="shared" ref="J42:J47" si="11">SUM(G42:I42)</f>
        <v>2146</v>
      </c>
      <c r="K42" s="28"/>
      <c r="L42" s="28"/>
      <c r="M42" s="28"/>
      <c r="N42" s="28"/>
      <c r="O42" s="28"/>
      <c r="P42" s="28"/>
      <c r="Q42" s="28"/>
      <c r="R42" s="28"/>
      <c r="S42" s="13"/>
      <c r="T42" s="13"/>
      <c r="U42" s="13"/>
      <c r="V42" s="13"/>
      <c r="W42" s="13"/>
      <c r="X42" s="13"/>
      <c r="Y42" s="13"/>
      <c r="Z42" s="13"/>
      <c r="AB42" s="102"/>
      <c r="AD42" s="28"/>
      <c r="AE42" s="104"/>
      <c r="AF42" s="9"/>
      <c r="AG42" s="9"/>
      <c r="AH42" s="105"/>
      <c r="AI42" s="106"/>
      <c r="AJ42" s="104"/>
      <c r="AK42" s="13"/>
      <c r="AL42" s="105"/>
    </row>
    <row r="43" spans="1:46" ht="16.5" hidden="1" thickBot="1" x14ac:dyDescent="0.3">
      <c r="A43" s="359">
        <f t="shared" ref="A43:A119" si="12">IF(C43="",0,1)</f>
        <v>1</v>
      </c>
      <c r="B43" s="217">
        <v>41122</v>
      </c>
      <c r="C43" s="33">
        <v>68938</v>
      </c>
      <c r="D43" s="22"/>
      <c r="E43" s="22">
        <f>[5]Kids!N185</f>
        <v>14509</v>
      </c>
      <c r="F43" s="38">
        <f t="shared" si="10"/>
        <v>83447</v>
      </c>
      <c r="G43" s="33">
        <v>1663</v>
      </c>
      <c r="H43" s="22"/>
      <c r="I43" s="22">
        <f>[5]Prenatal!E130</f>
        <v>459</v>
      </c>
      <c r="J43" s="517">
        <f t="shared" si="11"/>
        <v>2122</v>
      </c>
      <c r="K43" s="28"/>
      <c r="L43" s="28"/>
      <c r="M43" s="28"/>
      <c r="N43" s="28"/>
      <c r="O43" s="28"/>
      <c r="P43" s="28"/>
      <c r="Q43" s="28"/>
      <c r="R43" s="28"/>
      <c r="S43" s="13"/>
      <c r="T43" s="13"/>
      <c r="U43" s="13"/>
      <c r="V43" s="13"/>
      <c r="W43" s="13"/>
      <c r="X43" s="13"/>
      <c r="Y43" s="13"/>
      <c r="Z43" s="13"/>
      <c r="AB43" s="102"/>
      <c r="AD43" s="28"/>
      <c r="AE43" s="104"/>
      <c r="AF43" s="9"/>
      <c r="AG43" s="9"/>
      <c r="AH43" s="9"/>
      <c r="AI43" s="106"/>
      <c r="AJ43" s="104"/>
      <c r="AK43" s="13"/>
      <c r="AL43" s="9"/>
    </row>
    <row r="44" spans="1:46" ht="16.5" hidden="1" thickBot="1" x14ac:dyDescent="0.3">
      <c r="A44" s="359">
        <f t="shared" si="12"/>
        <v>1</v>
      </c>
      <c r="B44" s="217">
        <v>41153</v>
      </c>
      <c r="C44" s="33">
        <v>67196</v>
      </c>
      <c r="D44" s="22"/>
      <c r="E44" s="22">
        <f>[5]Kids!N186</f>
        <v>15267</v>
      </c>
      <c r="F44" s="38">
        <f t="shared" si="10"/>
        <v>82463</v>
      </c>
      <c r="G44" s="33">
        <v>1575</v>
      </c>
      <c r="H44" s="22"/>
      <c r="I44" s="22">
        <f>[5]Prenatal!E131</f>
        <v>482</v>
      </c>
      <c r="J44" s="517">
        <f t="shared" si="11"/>
        <v>2057</v>
      </c>
      <c r="K44" s="28"/>
      <c r="L44" s="28"/>
      <c r="M44" s="28"/>
      <c r="N44" s="28"/>
      <c r="O44" s="28"/>
      <c r="P44" s="28"/>
      <c r="Q44" s="28"/>
      <c r="R44" s="28"/>
      <c r="S44" s="13"/>
      <c r="T44" s="13"/>
      <c r="U44" s="13"/>
      <c r="V44" s="13"/>
      <c r="W44" s="13"/>
      <c r="X44" s="13"/>
      <c r="Y44" s="13"/>
      <c r="Z44" s="13"/>
      <c r="AB44" s="102"/>
      <c r="AD44" s="28"/>
      <c r="AE44" s="104"/>
      <c r="AF44" s="9"/>
      <c r="AG44" s="9"/>
      <c r="AI44" s="106"/>
      <c r="AJ44" s="104"/>
      <c r="AK44" s="13"/>
    </row>
    <row r="45" spans="1:46" ht="16.5" hidden="1" thickBot="1" x14ac:dyDescent="0.3">
      <c r="A45" s="359">
        <f t="shared" si="12"/>
        <v>1</v>
      </c>
      <c r="B45" s="217">
        <v>41183</v>
      </c>
      <c r="C45" s="33">
        <v>68080</v>
      </c>
      <c r="D45" s="22"/>
      <c r="E45" s="22">
        <f>[5]Kids!N187</f>
        <v>14955</v>
      </c>
      <c r="F45" s="38">
        <f t="shared" si="10"/>
        <v>83035</v>
      </c>
      <c r="G45" s="33">
        <v>1552</v>
      </c>
      <c r="H45" s="22"/>
      <c r="I45" s="22">
        <f>[5]Prenatal!E132</f>
        <v>470</v>
      </c>
      <c r="J45" s="517">
        <f t="shared" si="11"/>
        <v>2022</v>
      </c>
      <c r="K45" s="28"/>
      <c r="L45" s="28"/>
      <c r="M45" s="28"/>
      <c r="N45" s="28"/>
      <c r="O45" s="28"/>
      <c r="P45" s="28"/>
      <c r="Q45" s="28"/>
      <c r="R45" s="28"/>
      <c r="S45" s="13"/>
      <c r="T45" s="13"/>
      <c r="U45" s="13"/>
      <c r="V45" s="13"/>
      <c r="W45" s="13"/>
      <c r="X45" s="13"/>
      <c r="Y45" s="13"/>
      <c r="Z45" s="13"/>
      <c r="AB45" s="102"/>
      <c r="AD45" s="28"/>
      <c r="AE45" s="104"/>
      <c r="AF45" s="9"/>
      <c r="AG45" s="9"/>
      <c r="AH45" s="9"/>
      <c r="AI45" s="106"/>
      <c r="AJ45" s="104"/>
      <c r="AK45" s="13"/>
    </row>
    <row r="46" spans="1:46" ht="16.5" hidden="1" thickBot="1" x14ac:dyDescent="0.3">
      <c r="A46" s="359">
        <f t="shared" si="12"/>
        <v>1</v>
      </c>
      <c r="B46" s="217">
        <v>41214</v>
      </c>
      <c r="C46" s="33">
        <v>69082</v>
      </c>
      <c r="D46" s="22"/>
      <c r="E46" s="22">
        <f>[5]Kids!N188</f>
        <v>15289</v>
      </c>
      <c r="F46" s="38">
        <f t="shared" si="10"/>
        <v>84371</v>
      </c>
      <c r="G46" s="33">
        <v>1593</v>
      </c>
      <c r="H46" s="22"/>
      <c r="I46" s="22">
        <f>[5]Prenatal!E133</f>
        <v>498</v>
      </c>
      <c r="J46" s="517">
        <f t="shared" si="11"/>
        <v>2091</v>
      </c>
      <c r="K46" s="28"/>
      <c r="L46" s="28"/>
      <c r="M46" s="28"/>
      <c r="N46" s="28"/>
      <c r="O46" s="28"/>
      <c r="P46" s="28"/>
      <c r="Q46" s="28"/>
      <c r="R46" s="28"/>
      <c r="S46" s="13"/>
      <c r="T46" s="13"/>
      <c r="U46" s="13"/>
      <c r="V46" s="13"/>
      <c r="W46" s="13"/>
      <c r="X46" s="13"/>
      <c r="Y46" s="13"/>
      <c r="Z46" s="13"/>
      <c r="AB46" s="102"/>
      <c r="AD46" s="28"/>
      <c r="AE46" s="104"/>
      <c r="AF46" s="9"/>
      <c r="AG46" s="9"/>
      <c r="AH46" s="9"/>
      <c r="AI46" s="106"/>
      <c r="AJ46" s="104"/>
      <c r="AK46" s="13"/>
    </row>
    <row r="47" spans="1:46" ht="16.5" hidden="1" thickBot="1" x14ac:dyDescent="0.3">
      <c r="A47" s="359">
        <f t="shared" si="12"/>
        <v>1</v>
      </c>
      <c r="B47" s="217">
        <v>41244</v>
      </c>
      <c r="C47" s="33">
        <v>68453</v>
      </c>
      <c r="D47" s="22"/>
      <c r="E47" s="22">
        <f>[5]Kids!N189</f>
        <v>16575</v>
      </c>
      <c r="F47" s="38">
        <f t="shared" si="10"/>
        <v>85028</v>
      </c>
      <c r="G47" s="33">
        <v>1589</v>
      </c>
      <c r="H47" s="22"/>
      <c r="I47" s="22">
        <f>[5]Prenatal!E134</f>
        <v>550</v>
      </c>
      <c r="J47" s="517">
        <f t="shared" si="11"/>
        <v>2139</v>
      </c>
      <c r="K47" s="28"/>
      <c r="L47" s="28"/>
      <c r="M47" s="28"/>
      <c r="N47" s="28"/>
      <c r="O47" s="28"/>
      <c r="P47" s="28"/>
      <c r="Q47" s="28"/>
      <c r="R47" s="28"/>
      <c r="S47" s="13"/>
      <c r="T47" s="13"/>
      <c r="U47" s="13"/>
      <c r="V47" s="13"/>
      <c r="W47" s="13"/>
      <c r="X47" s="13"/>
      <c r="Y47" s="13"/>
      <c r="Z47" s="13"/>
      <c r="AB47" s="102"/>
      <c r="AD47" s="28"/>
      <c r="AE47" s="104"/>
      <c r="AF47" s="9"/>
      <c r="AG47" s="9"/>
      <c r="AI47" s="106"/>
      <c r="AJ47" s="104"/>
      <c r="AK47" s="13"/>
    </row>
    <row r="48" spans="1:46" ht="16.5" hidden="1" thickBot="1" x14ac:dyDescent="0.3">
      <c r="A48" s="359">
        <f t="shared" si="12"/>
        <v>1</v>
      </c>
      <c r="B48" s="217">
        <v>41275</v>
      </c>
      <c r="C48" s="33">
        <v>65022</v>
      </c>
      <c r="D48" s="22"/>
      <c r="E48" s="22">
        <f>[5]Kids!N190</f>
        <v>16159</v>
      </c>
      <c r="F48" s="38">
        <f t="shared" ref="F48:F53" si="13">SUM(C48:E48)</f>
        <v>81181</v>
      </c>
      <c r="G48" s="33">
        <v>662</v>
      </c>
      <c r="H48" s="22"/>
      <c r="I48" s="22">
        <f>[5]Prenatal!E135</f>
        <v>504</v>
      </c>
      <c r="J48" s="517">
        <f t="shared" ref="J48:J53" si="14">SUM(G48:I48)</f>
        <v>1166</v>
      </c>
      <c r="K48" s="28"/>
      <c r="L48" s="28"/>
      <c r="M48" s="28"/>
      <c r="N48" s="28"/>
      <c r="O48" s="28"/>
      <c r="P48" s="28"/>
      <c r="Q48" s="28"/>
      <c r="R48" s="28"/>
      <c r="S48" s="13"/>
      <c r="T48" s="13"/>
      <c r="U48" s="13"/>
      <c r="V48" s="13"/>
      <c r="W48" s="13"/>
      <c r="X48" s="13"/>
      <c r="Y48" s="13"/>
      <c r="Z48" s="13"/>
      <c r="AB48" s="102"/>
      <c r="AD48" s="28"/>
      <c r="AE48" s="104"/>
      <c r="AF48" s="9"/>
      <c r="AG48" s="9"/>
      <c r="AI48" s="106"/>
      <c r="AJ48" s="104"/>
      <c r="AK48" s="13"/>
    </row>
    <row r="49" spans="1:37" ht="16.5" hidden="1" thickBot="1" x14ac:dyDescent="0.3">
      <c r="A49" s="359">
        <f t="shared" si="12"/>
        <v>1</v>
      </c>
      <c r="B49" s="217">
        <v>41306</v>
      </c>
      <c r="C49" s="33">
        <v>59761</v>
      </c>
      <c r="D49" s="22"/>
      <c r="E49" s="22">
        <f>[5]Kids!N191</f>
        <v>16028</v>
      </c>
      <c r="F49" s="38">
        <f t="shared" si="13"/>
        <v>75789</v>
      </c>
      <c r="G49" s="33">
        <v>585</v>
      </c>
      <c r="H49" s="22"/>
      <c r="I49" s="22">
        <f>[5]Prenatal!E136</f>
        <v>451</v>
      </c>
      <c r="J49" s="517">
        <f t="shared" si="14"/>
        <v>1036</v>
      </c>
      <c r="K49" s="28"/>
      <c r="L49" s="28"/>
      <c r="M49" s="28"/>
      <c r="N49" s="28"/>
      <c r="O49" s="28"/>
      <c r="P49" s="28"/>
      <c r="Q49" s="28"/>
      <c r="R49" s="28"/>
      <c r="S49" s="13"/>
      <c r="T49" s="13"/>
      <c r="U49" s="13"/>
      <c r="V49" s="13"/>
      <c r="W49" s="13"/>
      <c r="X49" s="13"/>
      <c r="Y49" s="13"/>
      <c r="Z49" s="13"/>
      <c r="AB49" s="102"/>
      <c r="AD49" s="28"/>
      <c r="AE49" s="104"/>
      <c r="AF49" s="9"/>
      <c r="AG49" s="9"/>
      <c r="AK49" s="9"/>
    </row>
    <row r="50" spans="1:37" ht="16.5" hidden="1" thickBot="1" x14ac:dyDescent="0.3">
      <c r="A50" s="359">
        <f t="shared" si="12"/>
        <v>1</v>
      </c>
      <c r="B50" s="217">
        <v>41334</v>
      </c>
      <c r="C50" s="33">
        <v>55167</v>
      </c>
      <c r="D50" s="22"/>
      <c r="E50" s="22">
        <f>[5]Kids!N192</f>
        <v>16337</v>
      </c>
      <c r="F50" s="38">
        <f t="shared" si="13"/>
        <v>71504</v>
      </c>
      <c r="G50" s="33">
        <v>636</v>
      </c>
      <c r="H50" s="22"/>
      <c r="I50" s="22">
        <f>[5]Prenatal!E137</f>
        <v>442</v>
      </c>
      <c r="J50" s="517">
        <f t="shared" si="14"/>
        <v>1078</v>
      </c>
      <c r="K50" s="28"/>
      <c r="L50" s="28"/>
      <c r="M50" s="28"/>
      <c r="N50" s="28"/>
      <c r="O50" s="28"/>
      <c r="P50" s="28"/>
      <c r="Q50" s="28"/>
      <c r="R50" s="28"/>
      <c r="S50" s="13"/>
      <c r="T50" s="13"/>
      <c r="U50" s="13"/>
      <c r="V50" s="13"/>
      <c r="W50" s="13"/>
      <c r="X50" s="13"/>
      <c r="Y50" s="13"/>
      <c r="Z50" s="13"/>
      <c r="AB50" s="102"/>
      <c r="AD50" s="28"/>
      <c r="AE50" s="104"/>
      <c r="AF50" s="9"/>
      <c r="AG50" s="9"/>
      <c r="AK50" s="9"/>
    </row>
    <row r="51" spans="1:37" ht="16.5" hidden="1" thickBot="1" x14ac:dyDescent="0.3">
      <c r="A51" s="359">
        <f t="shared" si="12"/>
        <v>1</v>
      </c>
      <c r="B51" s="217">
        <v>41365</v>
      </c>
      <c r="C51" s="33">
        <v>55115</v>
      </c>
      <c r="D51" s="22"/>
      <c r="E51" s="22">
        <f>[5]Kids!N193</f>
        <v>16091</v>
      </c>
      <c r="F51" s="38">
        <f t="shared" si="13"/>
        <v>71206</v>
      </c>
      <c r="G51" s="33">
        <v>709</v>
      </c>
      <c r="H51" s="22"/>
      <c r="I51" s="22">
        <f>[5]Prenatal!E138</f>
        <v>435</v>
      </c>
      <c r="J51" s="517">
        <f t="shared" si="14"/>
        <v>1144</v>
      </c>
      <c r="K51" s="28"/>
      <c r="L51" s="28"/>
      <c r="M51" s="28"/>
      <c r="N51" s="28"/>
      <c r="O51" s="28"/>
      <c r="P51" s="28"/>
      <c r="Q51" s="28"/>
      <c r="R51" s="28"/>
      <c r="S51" s="13"/>
      <c r="T51" s="13"/>
      <c r="U51" s="13"/>
      <c r="V51" s="13"/>
      <c r="W51" s="13"/>
      <c r="X51" s="13"/>
      <c r="Y51" s="13"/>
      <c r="Z51" s="13"/>
      <c r="AB51" s="102"/>
      <c r="AD51" s="28"/>
      <c r="AE51" s="104"/>
      <c r="AF51" s="9"/>
      <c r="AG51" s="9"/>
      <c r="AJ51" s="11"/>
      <c r="AK51" s="9"/>
    </row>
    <row r="52" spans="1:37" ht="16.5" hidden="1" thickBot="1" x14ac:dyDescent="0.3">
      <c r="A52" s="359">
        <f t="shared" si="12"/>
        <v>1</v>
      </c>
      <c r="B52" s="217">
        <v>41395</v>
      </c>
      <c r="C52" s="33">
        <v>51438</v>
      </c>
      <c r="D52" s="22"/>
      <c r="E52" s="22">
        <f>[5]Kids!N194</f>
        <v>15914</v>
      </c>
      <c r="F52" s="38">
        <f t="shared" si="13"/>
        <v>67352</v>
      </c>
      <c r="G52" s="33">
        <v>737</v>
      </c>
      <c r="H52" s="22"/>
      <c r="I52" s="22">
        <f>[5]Prenatal!E139</f>
        <v>417</v>
      </c>
      <c r="J52" s="517">
        <f t="shared" si="14"/>
        <v>1154</v>
      </c>
      <c r="K52" s="28"/>
      <c r="L52" s="28"/>
      <c r="M52" s="28"/>
      <c r="N52" s="28"/>
      <c r="O52" s="28"/>
      <c r="P52" s="28"/>
      <c r="Q52" s="28"/>
      <c r="R52" s="28"/>
      <c r="S52" s="13"/>
      <c r="T52" s="13"/>
      <c r="U52" s="13"/>
      <c r="V52" s="13"/>
      <c r="W52" s="13"/>
      <c r="X52" s="13"/>
      <c r="Y52" s="13"/>
      <c r="Z52" s="13"/>
      <c r="AB52" s="102"/>
      <c r="AD52" s="28"/>
      <c r="AE52" s="104"/>
      <c r="AF52" s="9"/>
      <c r="AG52" s="9"/>
      <c r="AJ52" s="11"/>
      <c r="AK52" s="9"/>
    </row>
    <row r="53" spans="1:37" ht="16.5" hidden="1" thickBot="1" x14ac:dyDescent="0.3">
      <c r="A53" s="359">
        <f t="shared" si="12"/>
        <v>1</v>
      </c>
      <c r="B53" s="217">
        <v>41426</v>
      </c>
      <c r="C53" s="33">
        <v>48895</v>
      </c>
      <c r="D53" s="22"/>
      <c r="E53" s="22">
        <f>[5]Kids!N195</f>
        <v>16047</v>
      </c>
      <c r="F53" s="38">
        <f t="shared" si="13"/>
        <v>64942</v>
      </c>
      <c r="G53" s="33">
        <v>778</v>
      </c>
      <c r="H53" s="22"/>
      <c r="I53" s="22">
        <f>[5]Prenatal!E140</f>
        <v>399</v>
      </c>
      <c r="J53" s="517">
        <f t="shared" si="14"/>
        <v>1177</v>
      </c>
      <c r="K53" s="28"/>
      <c r="L53" s="28"/>
      <c r="M53" s="28"/>
      <c r="N53" s="28"/>
      <c r="O53" s="28"/>
      <c r="P53" s="28"/>
      <c r="Q53" s="28"/>
      <c r="R53" s="28"/>
      <c r="S53" s="13"/>
      <c r="T53" s="13"/>
      <c r="U53" s="13"/>
      <c r="V53" s="13"/>
      <c r="W53" s="13"/>
      <c r="X53" s="13"/>
      <c r="Y53" s="13"/>
      <c r="Z53" s="13"/>
      <c r="AB53" s="102"/>
      <c r="AD53" s="28"/>
      <c r="AE53" s="104"/>
      <c r="AF53" s="9"/>
      <c r="AG53" s="9"/>
      <c r="AJ53" s="11"/>
      <c r="AK53" s="9"/>
    </row>
    <row r="54" spans="1:37" ht="16.5" hidden="1" thickBot="1" x14ac:dyDescent="0.3">
      <c r="A54" s="359">
        <f t="shared" si="12"/>
        <v>1</v>
      </c>
      <c r="B54" s="221" t="s">
        <v>128</v>
      </c>
      <c r="C54" s="41">
        <f>ROUND(AVERAGE(C42:C53),0)</f>
        <v>62260</v>
      </c>
      <c r="D54" s="42"/>
      <c r="E54" s="42">
        <f>ROUND(AVERAGE(E42:E53),0)</f>
        <v>15575</v>
      </c>
      <c r="F54" s="42">
        <f>ROUND(AVERAGE(F42:F53),0)</f>
        <v>77836</v>
      </c>
      <c r="G54" s="41">
        <f>ROUND(AVERAGE(G42:G53),0)</f>
        <v>1148</v>
      </c>
      <c r="H54" s="42"/>
      <c r="I54" s="42">
        <f>ROUND(AVERAGE(I42:I53),0)</f>
        <v>463</v>
      </c>
      <c r="J54" s="515">
        <f>ROUND(AVERAGE(J42:J53),0)</f>
        <v>1611</v>
      </c>
      <c r="K54" s="28"/>
      <c r="L54" s="28"/>
      <c r="M54" s="28"/>
      <c r="N54" s="32"/>
      <c r="O54" s="32"/>
      <c r="P54" s="32"/>
      <c r="Q54" s="32"/>
      <c r="R54" s="32"/>
      <c r="AB54" s="102"/>
      <c r="AD54" s="28"/>
      <c r="AE54" s="104"/>
      <c r="AF54" s="9"/>
      <c r="AG54" s="9"/>
      <c r="AJ54" s="11"/>
      <c r="AK54" s="9"/>
    </row>
    <row r="55" spans="1:37" ht="16.5" hidden="1" thickBot="1" x14ac:dyDescent="0.3">
      <c r="A55" s="359">
        <f t="shared" si="12"/>
        <v>1</v>
      </c>
      <c r="B55" s="217">
        <v>41456</v>
      </c>
      <c r="C55" s="33">
        <v>52548</v>
      </c>
      <c r="D55" s="22"/>
      <c r="E55" s="22">
        <f>[6]Kids!E197</f>
        <v>15933</v>
      </c>
      <c r="F55" s="38">
        <f t="shared" ref="F55:F66" si="15">SUM(C55:E55)</f>
        <v>68481</v>
      </c>
      <c r="G55" s="33">
        <v>850</v>
      </c>
      <c r="H55" s="22"/>
      <c r="I55" s="22">
        <f>[6]Prenatal!E142</f>
        <v>354</v>
      </c>
      <c r="J55" s="517">
        <f>SUM(G55:I55)</f>
        <v>1204</v>
      </c>
      <c r="K55" s="28"/>
      <c r="L55" s="28"/>
      <c r="M55" s="28"/>
      <c r="N55" s="28"/>
      <c r="O55" s="28"/>
      <c r="P55" s="28"/>
      <c r="Q55" s="28"/>
      <c r="R55" s="28"/>
      <c r="S55" s="13"/>
      <c r="T55" s="13"/>
      <c r="U55" s="13"/>
      <c r="V55" s="13"/>
      <c r="W55" s="13"/>
      <c r="X55" s="13"/>
      <c r="Y55" s="13"/>
      <c r="Z55" s="13"/>
      <c r="AB55" s="102"/>
      <c r="AD55" s="28"/>
      <c r="AE55" s="104"/>
      <c r="AF55" s="9"/>
      <c r="AG55" s="9"/>
      <c r="AJ55" s="11"/>
      <c r="AK55" s="9"/>
    </row>
    <row r="56" spans="1:37" ht="16.5" hidden="1" thickBot="1" x14ac:dyDescent="0.3">
      <c r="A56" s="359">
        <f t="shared" si="12"/>
        <v>1</v>
      </c>
      <c r="B56" s="217">
        <v>41487</v>
      </c>
      <c r="C56" s="33">
        <v>50183</v>
      </c>
      <c r="D56" s="22"/>
      <c r="E56" s="22">
        <f>[6]Kids!E198</f>
        <v>17642</v>
      </c>
      <c r="F56" s="38">
        <f t="shared" si="15"/>
        <v>67825</v>
      </c>
      <c r="G56" s="33">
        <v>869</v>
      </c>
      <c r="H56" s="22"/>
      <c r="I56" s="22">
        <f>[6]Prenatal!E143</f>
        <v>393</v>
      </c>
      <c r="J56" s="517">
        <f>SUM(G56:I56)</f>
        <v>1262</v>
      </c>
      <c r="K56" s="28"/>
      <c r="L56" s="28"/>
      <c r="M56" s="28"/>
      <c r="N56" s="28"/>
      <c r="O56" s="28"/>
      <c r="P56" s="28"/>
      <c r="Q56" s="28"/>
      <c r="R56" s="28"/>
      <c r="S56" s="13"/>
      <c r="T56" s="13"/>
      <c r="U56" s="13"/>
      <c r="V56" s="13"/>
      <c r="W56" s="13"/>
      <c r="X56" s="13"/>
      <c r="Y56" s="13"/>
      <c r="Z56" s="13"/>
      <c r="AB56" s="102"/>
      <c r="AD56" s="28"/>
      <c r="AE56" s="104"/>
      <c r="AF56" s="9"/>
      <c r="AG56" s="9"/>
      <c r="AJ56" s="11"/>
      <c r="AK56" s="9"/>
    </row>
    <row r="57" spans="1:37" ht="16.5" hidden="1" thickBot="1" x14ac:dyDescent="0.3">
      <c r="A57" s="359">
        <f t="shared" si="12"/>
        <v>1</v>
      </c>
      <c r="B57" s="217">
        <v>41518</v>
      </c>
      <c r="C57" s="33">
        <v>50143</v>
      </c>
      <c r="D57" s="22"/>
      <c r="E57" s="22">
        <f>[6]Kids!E199</f>
        <v>16564</v>
      </c>
      <c r="F57" s="38">
        <f t="shared" si="15"/>
        <v>66707</v>
      </c>
      <c r="G57" s="33">
        <v>928</v>
      </c>
      <c r="H57" s="22"/>
      <c r="I57" s="22">
        <f>[6]Prenatal!E144</f>
        <v>385</v>
      </c>
      <c r="J57" s="517">
        <f>SUM(G57:I57)</f>
        <v>1313</v>
      </c>
      <c r="K57" s="28"/>
      <c r="L57" s="28"/>
      <c r="M57" s="28"/>
      <c r="N57" s="28"/>
      <c r="O57" s="28"/>
      <c r="P57" s="28"/>
      <c r="Q57" s="28"/>
      <c r="R57" s="28"/>
      <c r="S57" s="13"/>
      <c r="T57" s="13"/>
      <c r="AB57" s="102"/>
      <c r="AD57" s="28"/>
      <c r="AE57" s="104"/>
      <c r="AF57" s="9"/>
      <c r="AG57" s="9"/>
      <c r="AJ57" s="11"/>
      <c r="AK57" s="9"/>
    </row>
    <row r="58" spans="1:37" ht="16.5" hidden="1" thickBot="1" x14ac:dyDescent="0.3">
      <c r="A58" s="359">
        <f t="shared" si="12"/>
        <v>1</v>
      </c>
      <c r="B58" s="217">
        <v>41548</v>
      </c>
      <c r="C58" s="33">
        <v>43294</v>
      </c>
      <c r="D58" s="22"/>
      <c r="E58" s="22">
        <f>[6]Kids!E200</f>
        <v>20972</v>
      </c>
      <c r="F58" s="38">
        <f t="shared" si="15"/>
        <v>64266</v>
      </c>
      <c r="G58" s="33">
        <v>246</v>
      </c>
      <c r="H58" s="22"/>
      <c r="I58" s="22">
        <f>[6]Prenatal!E145</f>
        <v>533</v>
      </c>
      <c r="J58" s="517">
        <f t="shared" ref="J58:J66" si="16">SUM(G58:I58)</f>
        <v>779</v>
      </c>
      <c r="K58" s="28"/>
      <c r="L58" s="28"/>
      <c r="M58" s="28"/>
      <c r="N58" s="28"/>
      <c r="O58" s="28"/>
      <c r="P58" s="28"/>
      <c r="Q58" s="28"/>
      <c r="R58" s="28"/>
      <c r="S58" s="13"/>
      <c r="T58" s="13"/>
      <c r="AB58" s="102"/>
      <c r="AD58" s="28"/>
      <c r="AE58" s="104"/>
      <c r="AF58" s="9"/>
      <c r="AG58" s="9"/>
      <c r="AJ58" s="11"/>
      <c r="AK58" s="9"/>
    </row>
    <row r="59" spans="1:37" ht="16.5" hidden="1" thickBot="1" x14ac:dyDescent="0.3">
      <c r="A59" s="359">
        <f t="shared" si="12"/>
        <v>1</v>
      </c>
      <c r="B59" s="217">
        <v>41579</v>
      </c>
      <c r="C59" s="33">
        <v>39832</v>
      </c>
      <c r="D59" s="22"/>
      <c r="E59" s="22">
        <f>[6]Kids!E201</f>
        <v>19542</v>
      </c>
      <c r="F59" s="38">
        <f t="shared" si="15"/>
        <v>59374</v>
      </c>
      <c r="G59" s="33">
        <v>313</v>
      </c>
      <c r="H59" s="22"/>
      <c r="I59" s="22">
        <f>[6]Prenatal!E146</f>
        <v>534</v>
      </c>
      <c r="J59" s="517">
        <f t="shared" si="16"/>
        <v>847</v>
      </c>
      <c r="K59" s="28"/>
      <c r="L59" s="28"/>
      <c r="M59" s="28"/>
      <c r="N59" s="28"/>
      <c r="O59" s="28"/>
      <c r="P59" s="28"/>
      <c r="Q59" s="28"/>
      <c r="R59" s="28"/>
      <c r="S59" s="13"/>
      <c r="T59" s="13"/>
      <c r="W59" s="793"/>
      <c r="X59" s="794"/>
      <c r="Y59" s="794"/>
      <c r="Z59" s="794"/>
      <c r="AA59" s="795"/>
      <c r="AB59" s="796"/>
      <c r="AC59" s="797"/>
      <c r="AD59" s="797"/>
      <c r="AE59" s="797"/>
      <c r="AF59" s="798"/>
      <c r="AG59" s="9"/>
      <c r="AJ59" s="11"/>
      <c r="AK59" s="9"/>
    </row>
    <row r="60" spans="1:37" ht="37.5" hidden="1" customHeight="1" thickBot="1" x14ac:dyDescent="0.3">
      <c r="A60" s="359">
        <f t="shared" si="12"/>
        <v>1</v>
      </c>
      <c r="B60" s="217">
        <v>41609</v>
      </c>
      <c r="C60" s="33">
        <v>40150</v>
      </c>
      <c r="D60" s="22"/>
      <c r="E60" s="22">
        <f>[6]Kids!E202</f>
        <v>20376</v>
      </c>
      <c r="F60" s="38">
        <f t="shared" si="15"/>
        <v>60526</v>
      </c>
      <c r="G60" s="33">
        <v>354</v>
      </c>
      <c r="H60" s="22"/>
      <c r="I60" s="22">
        <f>[6]Prenatal!E147</f>
        <v>540</v>
      </c>
      <c r="J60" s="517">
        <f t="shared" si="16"/>
        <v>894</v>
      </c>
      <c r="K60" s="28"/>
      <c r="L60" s="28"/>
      <c r="M60" s="28"/>
      <c r="N60" s="28"/>
      <c r="O60" s="28"/>
      <c r="P60" s="28"/>
      <c r="Q60" s="28"/>
      <c r="R60" s="28"/>
      <c r="S60" s="13"/>
      <c r="T60" s="13"/>
      <c r="W60" s="792"/>
      <c r="X60" s="790"/>
      <c r="Y60" s="124"/>
      <c r="Z60" s="790"/>
      <c r="AA60" s="791"/>
      <c r="AB60" s="792"/>
      <c r="AC60" s="790"/>
      <c r="AD60" s="124"/>
      <c r="AE60" s="790"/>
      <c r="AF60" s="791"/>
      <c r="AG60" s="9"/>
      <c r="AJ60" s="11"/>
      <c r="AK60" s="9"/>
    </row>
    <row r="61" spans="1:37" ht="16.5" hidden="1" thickBot="1" x14ac:dyDescent="0.3">
      <c r="A61" s="359">
        <f t="shared" si="12"/>
        <v>1</v>
      </c>
      <c r="B61" s="217">
        <v>41640</v>
      </c>
      <c r="C61" s="33">
        <v>39924</v>
      </c>
      <c r="D61" s="22"/>
      <c r="E61" s="22">
        <v>20324</v>
      </c>
      <c r="F61" s="38">
        <f t="shared" si="15"/>
        <v>60248</v>
      </c>
      <c r="G61" s="33">
        <v>310</v>
      </c>
      <c r="H61" s="163"/>
      <c r="I61" s="163">
        <v>561</v>
      </c>
      <c r="J61" s="517">
        <f t="shared" si="16"/>
        <v>871</v>
      </c>
      <c r="K61" s="28"/>
      <c r="L61" s="28"/>
      <c r="M61" s="28"/>
      <c r="N61" s="28"/>
      <c r="O61" s="28"/>
      <c r="P61" s="28"/>
      <c r="Q61" s="28"/>
      <c r="R61" s="28"/>
      <c r="S61" s="13"/>
      <c r="T61" s="13"/>
      <c r="V61" s="126"/>
      <c r="W61" s="127"/>
      <c r="X61" s="128"/>
      <c r="Y61" s="255"/>
      <c r="Z61" s="68"/>
      <c r="AA61" s="69"/>
      <c r="AB61" s="127"/>
      <c r="AC61" s="128"/>
      <c r="AD61" s="255"/>
      <c r="AE61" s="68"/>
      <c r="AF61" s="69"/>
      <c r="AG61" s="9"/>
      <c r="AJ61" s="11"/>
      <c r="AK61" s="9"/>
    </row>
    <row r="62" spans="1:37" ht="16.5" hidden="1" thickBot="1" x14ac:dyDescent="0.3">
      <c r="A62" s="359">
        <f t="shared" si="12"/>
        <v>1</v>
      </c>
      <c r="B62" s="217">
        <v>41671</v>
      </c>
      <c r="C62" s="33">
        <v>37490</v>
      </c>
      <c r="D62" s="22"/>
      <c r="E62" s="22">
        <v>19050</v>
      </c>
      <c r="F62" s="38">
        <f t="shared" si="15"/>
        <v>56540</v>
      </c>
      <c r="G62" s="33">
        <v>300</v>
      </c>
      <c r="H62" s="163"/>
      <c r="I62" s="163">
        <v>566</v>
      </c>
      <c r="J62" s="517">
        <f t="shared" si="16"/>
        <v>866</v>
      </c>
      <c r="K62" s="28"/>
      <c r="L62" s="28"/>
      <c r="M62" s="28"/>
      <c r="N62" s="28"/>
      <c r="O62" s="28"/>
      <c r="P62" s="28"/>
      <c r="Q62" s="28"/>
      <c r="R62" s="28"/>
      <c r="S62" s="13"/>
      <c r="T62" s="13"/>
      <c r="U62" s="13"/>
      <c r="V62" s="126"/>
      <c r="W62" s="127"/>
      <c r="X62" s="128"/>
      <c r="Y62" s="255"/>
      <c r="Z62" s="68"/>
      <c r="AA62" s="69"/>
      <c r="AB62" s="127"/>
      <c r="AC62" s="128"/>
      <c r="AD62" s="255"/>
      <c r="AE62" s="68"/>
      <c r="AF62" s="69"/>
      <c r="AG62" s="9"/>
      <c r="AJ62" s="11"/>
      <c r="AK62" s="9"/>
    </row>
    <row r="63" spans="1:37" ht="16.5" hidden="1" thickBot="1" x14ac:dyDescent="0.3">
      <c r="A63" s="359">
        <f t="shared" si="12"/>
        <v>1</v>
      </c>
      <c r="B63" s="217">
        <v>41699</v>
      </c>
      <c r="C63" s="33">
        <v>39972</v>
      </c>
      <c r="D63" s="22"/>
      <c r="E63" s="22">
        <v>20690</v>
      </c>
      <c r="F63" s="38">
        <f t="shared" si="15"/>
        <v>60662</v>
      </c>
      <c r="G63" s="33">
        <v>333</v>
      </c>
      <c r="H63" s="163"/>
      <c r="I63" s="163">
        <v>593</v>
      </c>
      <c r="J63" s="517">
        <f t="shared" si="16"/>
        <v>926</v>
      </c>
      <c r="K63" s="28"/>
      <c r="L63" s="28"/>
      <c r="M63" s="28"/>
      <c r="N63" s="28"/>
      <c r="O63" s="28"/>
      <c r="P63" s="28"/>
      <c r="Q63" s="28"/>
      <c r="R63" s="28"/>
      <c r="S63" s="13"/>
      <c r="T63" s="13"/>
      <c r="U63" s="13"/>
      <c r="V63" s="126"/>
      <c r="W63" s="127"/>
      <c r="X63" s="128"/>
      <c r="Y63" s="255"/>
      <c r="Z63" s="68"/>
      <c r="AA63" s="69"/>
      <c r="AB63" s="127"/>
      <c r="AC63" s="128"/>
      <c r="AD63" s="255"/>
      <c r="AE63" s="68"/>
      <c r="AF63" s="69"/>
      <c r="AG63" s="9"/>
      <c r="AJ63" s="11"/>
      <c r="AK63" s="9"/>
    </row>
    <row r="64" spans="1:37" ht="16.5" hidden="1" thickBot="1" x14ac:dyDescent="0.3">
      <c r="A64" s="359">
        <f t="shared" si="12"/>
        <v>1</v>
      </c>
      <c r="B64" s="217">
        <v>41730</v>
      </c>
      <c r="C64" s="33">
        <v>40436</v>
      </c>
      <c r="D64" s="22"/>
      <c r="E64" s="22">
        <v>20255</v>
      </c>
      <c r="F64" s="38">
        <f t="shared" si="15"/>
        <v>60691</v>
      </c>
      <c r="G64" s="33">
        <v>332</v>
      </c>
      <c r="H64" s="163"/>
      <c r="I64" s="163">
        <v>536</v>
      </c>
      <c r="J64" s="517">
        <f t="shared" si="16"/>
        <v>868</v>
      </c>
      <c r="K64" s="28"/>
      <c r="L64" s="28"/>
      <c r="M64" s="28"/>
      <c r="N64" s="28"/>
      <c r="O64" s="28"/>
      <c r="P64" s="28"/>
      <c r="Q64" s="28"/>
      <c r="R64" s="28"/>
      <c r="S64" s="13"/>
      <c r="T64" s="13"/>
      <c r="V64" s="126"/>
      <c r="W64" s="127"/>
      <c r="X64" s="128"/>
      <c r="Y64" s="255"/>
      <c r="Z64" s="68"/>
      <c r="AA64" s="69"/>
      <c r="AB64" s="127"/>
      <c r="AC64" s="128"/>
      <c r="AD64" s="255"/>
      <c r="AE64" s="68"/>
      <c r="AF64" s="69"/>
      <c r="AG64" s="9"/>
      <c r="AJ64" s="11"/>
      <c r="AK64" s="9"/>
    </row>
    <row r="65" spans="1:37" ht="16.5" hidden="1" thickBot="1" x14ac:dyDescent="0.3">
      <c r="A65" s="359">
        <f t="shared" si="12"/>
        <v>1</v>
      </c>
      <c r="B65" s="217">
        <v>41760</v>
      </c>
      <c r="C65" s="33">
        <v>37893</v>
      </c>
      <c r="D65" s="22"/>
      <c r="E65" s="22">
        <v>18554</v>
      </c>
      <c r="F65" s="38">
        <f t="shared" si="15"/>
        <v>56447</v>
      </c>
      <c r="G65" s="33">
        <v>298</v>
      </c>
      <c r="H65" s="163"/>
      <c r="I65" s="163">
        <v>496</v>
      </c>
      <c r="J65" s="517">
        <f t="shared" si="16"/>
        <v>794</v>
      </c>
      <c r="K65" s="28"/>
      <c r="L65" s="28"/>
      <c r="M65" s="28"/>
      <c r="N65" s="28"/>
      <c r="O65" s="28"/>
      <c r="P65" s="28"/>
      <c r="Q65" s="28"/>
      <c r="R65" s="28"/>
      <c r="S65" s="13"/>
      <c r="T65" s="13"/>
      <c r="V65" s="126"/>
      <c r="W65" s="127"/>
      <c r="X65" s="128"/>
      <c r="Y65" s="255"/>
      <c r="Z65" s="68"/>
      <c r="AA65" s="69"/>
      <c r="AB65" s="127"/>
      <c r="AC65" s="128"/>
      <c r="AD65" s="255"/>
      <c r="AE65" s="68"/>
      <c r="AF65" s="69"/>
      <c r="AG65" s="9"/>
      <c r="AJ65" s="11"/>
      <c r="AK65" s="9"/>
    </row>
    <row r="66" spans="1:37" ht="16.5" hidden="1" thickBot="1" x14ac:dyDescent="0.3">
      <c r="A66" s="359">
        <f t="shared" si="12"/>
        <v>1</v>
      </c>
      <c r="B66" s="217">
        <v>41791</v>
      </c>
      <c r="C66" s="33">
        <v>38258</v>
      </c>
      <c r="D66" s="22"/>
      <c r="E66" s="22">
        <v>18612</v>
      </c>
      <c r="F66" s="38">
        <f t="shared" si="15"/>
        <v>56870</v>
      </c>
      <c r="G66" s="33">
        <v>276</v>
      </c>
      <c r="H66" s="163"/>
      <c r="I66" s="163">
        <v>527</v>
      </c>
      <c r="J66" s="517">
        <f t="shared" si="16"/>
        <v>803</v>
      </c>
      <c r="K66" s="28"/>
      <c r="L66" s="28"/>
      <c r="M66" s="28"/>
      <c r="N66" s="28"/>
      <c r="O66" s="28"/>
      <c r="P66" s="28"/>
      <c r="Q66" s="28"/>
      <c r="R66" s="28"/>
      <c r="S66" s="13"/>
      <c r="T66" s="13"/>
      <c r="V66" s="126"/>
      <c r="W66" s="129"/>
      <c r="X66" s="130"/>
      <c r="Y66" s="256"/>
      <c r="Z66" s="70"/>
      <c r="AA66" s="71"/>
      <c r="AB66" s="129"/>
      <c r="AC66" s="130"/>
      <c r="AD66" s="256"/>
      <c r="AE66" s="70"/>
      <c r="AF66" s="71"/>
      <c r="AG66" s="9"/>
      <c r="AJ66" s="11"/>
      <c r="AK66" s="9"/>
    </row>
    <row r="67" spans="1:37" ht="16.5" hidden="1" thickBot="1" x14ac:dyDescent="0.3">
      <c r="A67" s="359">
        <f t="shared" si="12"/>
        <v>1</v>
      </c>
      <c r="B67" s="221" t="s">
        <v>174</v>
      </c>
      <c r="C67" s="41">
        <f>ROUND(AVERAGE(C55:C66),0)</f>
        <v>42510</v>
      </c>
      <c r="D67" s="42"/>
      <c r="E67" s="42">
        <f>ROUND(AVERAGE(E55:E66),0)</f>
        <v>19043</v>
      </c>
      <c r="F67" s="42">
        <f>ROUND(AVERAGE(F55:F66),0)</f>
        <v>61553</v>
      </c>
      <c r="G67" s="41">
        <f>ROUND(AVERAGE(G55:G66),0)</f>
        <v>451</v>
      </c>
      <c r="H67" s="42"/>
      <c r="I67" s="42">
        <f>ROUND(AVERAGE(I55:I66),0)</f>
        <v>502</v>
      </c>
      <c r="J67" s="515">
        <f>ROUND(AVERAGE(J55:J66),0)</f>
        <v>952</v>
      </c>
      <c r="K67" s="28"/>
      <c r="L67" s="28"/>
      <c r="M67" s="28"/>
      <c r="N67" s="28"/>
      <c r="O67" s="28"/>
      <c r="P67" s="28"/>
      <c r="Q67" s="28"/>
      <c r="R67" s="28"/>
      <c r="S67" s="13"/>
      <c r="T67" s="13"/>
      <c r="Y67" s="257"/>
      <c r="AB67" s="102"/>
      <c r="AD67" s="259"/>
      <c r="AE67" s="104"/>
      <c r="AF67" s="9"/>
      <c r="AG67" s="9"/>
      <c r="AJ67" s="11"/>
      <c r="AK67" s="9"/>
    </row>
    <row r="68" spans="1:37" hidden="1" x14ac:dyDescent="0.25">
      <c r="A68" s="359">
        <f t="shared" si="12"/>
        <v>1</v>
      </c>
      <c r="B68" s="217">
        <v>41821</v>
      </c>
      <c r="C68" s="33">
        <v>37832</v>
      </c>
      <c r="D68" s="22"/>
      <c r="E68" s="22">
        <f>'[6]For JBC Report'!E93</f>
        <v>17496</v>
      </c>
      <c r="F68" s="38">
        <f t="shared" ref="F68:F73" si="17">SUM(C68:E68)</f>
        <v>55328</v>
      </c>
      <c r="G68" s="33">
        <v>229</v>
      </c>
      <c r="H68" s="22"/>
      <c r="I68" s="22">
        <f>'[6]For JBC Report'!I93</f>
        <v>460</v>
      </c>
      <c r="J68" s="517">
        <f t="shared" ref="J68:J73" si="18">SUM(G68:I68)</f>
        <v>689</v>
      </c>
      <c r="K68" s="28"/>
      <c r="L68" s="28"/>
      <c r="M68" s="28"/>
      <c r="N68" s="28"/>
      <c r="O68" s="28"/>
      <c r="P68" s="28"/>
      <c r="Q68" s="28"/>
      <c r="R68" s="28"/>
      <c r="S68" s="13"/>
      <c r="T68" s="13"/>
      <c r="V68" s="126"/>
      <c r="W68" s="132"/>
      <c r="X68" s="133"/>
      <c r="Y68" s="258"/>
      <c r="Z68" s="72"/>
      <c r="AA68" s="73"/>
      <c r="AB68" s="134"/>
      <c r="AC68" s="133"/>
      <c r="AD68" s="258"/>
      <c r="AE68" s="72"/>
      <c r="AF68" s="73"/>
      <c r="AG68" s="9"/>
      <c r="AJ68" s="11"/>
      <c r="AK68" s="9"/>
    </row>
    <row r="69" spans="1:37" hidden="1" x14ac:dyDescent="0.25">
      <c r="A69" s="359">
        <f t="shared" si="12"/>
        <v>1</v>
      </c>
      <c r="B69" s="217">
        <v>41852</v>
      </c>
      <c r="C69" s="33">
        <v>39858</v>
      </c>
      <c r="D69" s="22"/>
      <c r="E69" s="22">
        <f>'[6]For JBC Report'!E94</f>
        <v>19106</v>
      </c>
      <c r="F69" s="38">
        <f t="shared" si="17"/>
        <v>58964</v>
      </c>
      <c r="G69" s="33">
        <v>296</v>
      </c>
      <c r="H69" s="22"/>
      <c r="I69" s="22">
        <f>'[6]For JBC Report'!I94</f>
        <v>496</v>
      </c>
      <c r="J69" s="517">
        <f t="shared" si="18"/>
        <v>792</v>
      </c>
      <c r="K69" s="28"/>
      <c r="L69" s="28"/>
      <c r="M69" s="28"/>
      <c r="N69" s="28"/>
      <c r="O69" s="28"/>
      <c r="P69" s="28"/>
      <c r="Q69" s="28"/>
      <c r="R69" s="28"/>
      <c r="S69" s="13"/>
      <c r="T69" s="13"/>
      <c r="W69" s="135"/>
      <c r="X69" s="111"/>
      <c r="Y69" s="255"/>
      <c r="Z69" s="111"/>
      <c r="AA69" s="136"/>
      <c r="AB69" s="137"/>
      <c r="AC69" s="111"/>
      <c r="AD69" s="260"/>
      <c r="AE69" s="138"/>
      <c r="AF69" s="139"/>
      <c r="AG69" s="9"/>
      <c r="AJ69" s="11"/>
      <c r="AK69" s="9"/>
    </row>
    <row r="70" spans="1:37" hidden="1" x14ac:dyDescent="0.25">
      <c r="A70" s="359">
        <f t="shared" si="12"/>
        <v>1</v>
      </c>
      <c r="B70" s="217">
        <v>41883</v>
      </c>
      <c r="C70" s="33">
        <v>38675</v>
      </c>
      <c r="D70" s="22"/>
      <c r="E70" s="22">
        <f>'[6]For JBC Report'!E95</f>
        <v>18350</v>
      </c>
      <c r="F70" s="38">
        <f t="shared" si="17"/>
        <v>57025</v>
      </c>
      <c r="G70" s="33">
        <v>273</v>
      </c>
      <c r="H70" s="22"/>
      <c r="I70" s="22">
        <f>'[6]For JBC Report'!I95</f>
        <v>488</v>
      </c>
      <c r="J70" s="517">
        <f t="shared" si="18"/>
        <v>761</v>
      </c>
      <c r="K70" s="28"/>
      <c r="L70" s="28"/>
      <c r="M70" s="28"/>
      <c r="N70" s="28"/>
      <c r="O70" s="28"/>
      <c r="P70" s="28"/>
      <c r="Q70" s="28"/>
      <c r="R70" s="28"/>
      <c r="S70" s="13"/>
      <c r="T70" s="13"/>
      <c r="W70" s="135"/>
      <c r="X70" s="111"/>
      <c r="Y70" s="255"/>
      <c r="Z70" s="111"/>
      <c r="AA70" s="136"/>
      <c r="AB70" s="137"/>
      <c r="AC70" s="111"/>
      <c r="AD70" s="260"/>
      <c r="AE70" s="138"/>
      <c r="AF70" s="139"/>
      <c r="AG70" s="9"/>
      <c r="AJ70" s="11"/>
      <c r="AK70" s="9"/>
    </row>
    <row r="71" spans="1:37" hidden="1" x14ac:dyDescent="0.25">
      <c r="A71" s="359">
        <f t="shared" si="12"/>
        <v>1</v>
      </c>
      <c r="B71" s="217">
        <v>41913</v>
      </c>
      <c r="C71" s="33">
        <v>35543</v>
      </c>
      <c r="D71" s="22"/>
      <c r="E71" s="22">
        <f>'[6]For JBC Report'!E96</f>
        <v>16449</v>
      </c>
      <c r="F71" s="38">
        <f t="shared" si="17"/>
        <v>51992</v>
      </c>
      <c r="G71" s="33">
        <v>224</v>
      </c>
      <c r="H71" s="22"/>
      <c r="I71" s="22">
        <f>'[6]For JBC Report'!I96</f>
        <v>457</v>
      </c>
      <c r="J71" s="517">
        <f t="shared" si="18"/>
        <v>681</v>
      </c>
      <c r="K71" s="28"/>
      <c r="L71" s="28"/>
      <c r="M71" s="28"/>
      <c r="N71" s="28"/>
      <c r="O71" s="28"/>
      <c r="P71" s="28"/>
      <c r="Q71" s="28"/>
      <c r="R71" s="28"/>
      <c r="S71" s="13"/>
      <c r="T71" s="13"/>
      <c r="W71" s="135"/>
      <c r="X71" s="111"/>
      <c r="Y71" s="255"/>
      <c r="Z71" s="111"/>
      <c r="AA71" s="136"/>
      <c r="AB71" s="137"/>
      <c r="AC71" s="111"/>
      <c r="AD71" s="260"/>
      <c r="AE71" s="138"/>
      <c r="AF71" s="139"/>
      <c r="AG71" s="9"/>
      <c r="AJ71" s="11"/>
      <c r="AK71" s="9"/>
    </row>
    <row r="72" spans="1:37" hidden="1" x14ac:dyDescent="0.25">
      <c r="A72" s="359">
        <f t="shared" si="12"/>
        <v>1</v>
      </c>
      <c r="B72" s="217">
        <v>41944</v>
      </c>
      <c r="C72" s="33">
        <v>35405</v>
      </c>
      <c r="D72" s="22"/>
      <c r="E72" s="22">
        <f>'[6]For JBC Report'!E97</f>
        <v>16027</v>
      </c>
      <c r="F72" s="38">
        <f t="shared" si="17"/>
        <v>51432</v>
      </c>
      <c r="G72" s="33">
        <v>233</v>
      </c>
      <c r="H72" s="22"/>
      <c r="I72" s="22">
        <f>'[6]For JBC Report'!I97</f>
        <v>455</v>
      </c>
      <c r="J72" s="517">
        <f t="shared" si="18"/>
        <v>688</v>
      </c>
      <c r="K72" s="28"/>
      <c r="L72" s="28"/>
      <c r="M72" s="28"/>
      <c r="N72" s="28"/>
      <c r="O72" s="28"/>
      <c r="P72" s="28"/>
      <c r="Q72" s="28"/>
      <c r="R72" s="28"/>
      <c r="S72" s="13"/>
      <c r="T72" s="13"/>
      <c r="W72" s="135"/>
      <c r="X72" s="111"/>
      <c r="Y72" s="255"/>
      <c r="Z72" s="111"/>
      <c r="AA72" s="136"/>
      <c r="AB72" s="137"/>
      <c r="AC72" s="111"/>
      <c r="AD72" s="260"/>
      <c r="AE72" s="138"/>
      <c r="AF72" s="139"/>
      <c r="AG72" s="9"/>
      <c r="AJ72" s="11"/>
      <c r="AK72" s="9"/>
    </row>
    <row r="73" spans="1:37" hidden="1" x14ac:dyDescent="0.25">
      <c r="A73" s="359">
        <f t="shared" si="12"/>
        <v>1</v>
      </c>
      <c r="B73" s="217">
        <v>41974</v>
      </c>
      <c r="C73" s="33">
        <v>36771</v>
      </c>
      <c r="D73" s="22"/>
      <c r="E73" s="22">
        <f>'[6]For JBC Report'!E98</f>
        <v>15851</v>
      </c>
      <c r="F73" s="38">
        <f t="shared" si="17"/>
        <v>52622</v>
      </c>
      <c r="G73" s="33">
        <v>232</v>
      </c>
      <c r="H73" s="22"/>
      <c r="I73" s="22">
        <f>'[6]For JBC Report'!I98</f>
        <v>446</v>
      </c>
      <c r="J73" s="517">
        <f t="shared" si="18"/>
        <v>678</v>
      </c>
      <c r="K73" s="28"/>
      <c r="L73" s="28"/>
      <c r="M73" s="28"/>
      <c r="N73" s="28"/>
      <c r="O73" s="28"/>
      <c r="P73" s="28"/>
      <c r="Q73" s="28"/>
      <c r="R73" s="28"/>
      <c r="S73" s="13"/>
      <c r="T73" s="13"/>
      <c r="W73" s="135"/>
      <c r="X73" s="111"/>
      <c r="Y73" s="255"/>
      <c r="Z73" s="111"/>
      <c r="AA73" s="136"/>
      <c r="AB73" s="137"/>
      <c r="AC73" s="111"/>
      <c r="AD73" s="260"/>
      <c r="AE73" s="138"/>
      <c r="AF73" s="139"/>
      <c r="AG73" s="9"/>
      <c r="AJ73" s="11"/>
      <c r="AK73" s="9"/>
    </row>
    <row r="74" spans="1:37" hidden="1" x14ac:dyDescent="0.25">
      <c r="A74" s="359">
        <f t="shared" si="12"/>
        <v>1</v>
      </c>
      <c r="B74" s="217">
        <v>42005</v>
      </c>
      <c r="C74" s="33">
        <v>36177</v>
      </c>
      <c r="D74" s="22"/>
      <c r="E74" s="22">
        <f>'[6]For JBC Report'!E99</f>
        <v>15780</v>
      </c>
      <c r="F74" s="38">
        <f t="shared" ref="F74:F79" si="19">SUM(C74:E74)</f>
        <v>51957</v>
      </c>
      <c r="G74" s="33">
        <v>205</v>
      </c>
      <c r="H74" s="22"/>
      <c r="I74" s="22">
        <f>'[6]For JBC Report'!I99</f>
        <v>478</v>
      </c>
      <c r="J74" s="517">
        <f t="shared" ref="J74:J79" si="20">SUM(G74:I74)</f>
        <v>683</v>
      </c>
      <c r="K74" s="28"/>
      <c r="L74" s="28"/>
      <c r="M74" s="28"/>
      <c r="N74" s="28"/>
      <c r="O74" s="28"/>
      <c r="P74" s="28"/>
      <c r="Q74" s="28"/>
      <c r="R74" s="28"/>
      <c r="S74" s="13"/>
      <c r="T74" s="13"/>
      <c r="W74" s="135"/>
      <c r="X74" s="111"/>
      <c r="Y74" s="255"/>
      <c r="Z74" s="111"/>
      <c r="AA74" s="136"/>
      <c r="AB74" s="137"/>
      <c r="AC74" s="111"/>
      <c r="AD74" s="260"/>
      <c r="AE74" s="138"/>
      <c r="AF74" s="139"/>
      <c r="AG74" s="9"/>
      <c r="AJ74" s="11"/>
      <c r="AK74" s="9"/>
    </row>
    <row r="75" spans="1:37" hidden="1" x14ac:dyDescent="0.25">
      <c r="A75" s="359">
        <f t="shared" si="12"/>
        <v>1</v>
      </c>
      <c r="B75" s="217">
        <v>42036</v>
      </c>
      <c r="C75" s="33">
        <v>36686</v>
      </c>
      <c r="D75" s="22"/>
      <c r="E75" s="22">
        <v>15980</v>
      </c>
      <c r="F75" s="38">
        <f t="shared" si="19"/>
        <v>52666</v>
      </c>
      <c r="G75" s="33">
        <v>200</v>
      </c>
      <c r="H75" s="22"/>
      <c r="I75" s="22">
        <v>465</v>
      </c>
      <c r="J75" s="517">
        <f t="shared" si="20"/>
        <v>665</v>
      </c>
      <c r="K75" s="28"/>
      <c r="L75" s="28"/>
      <c r="M75" s="28"/>
      <c r="N75" s="28"/>
      <c r="O75" s="28"/>
      <c r="P75" s="28"/>
      <c r="Q75" s="28"/>
      <c r="R75" s="28"/>
      <c r="S75" s="13"/>
      <c r="T75" s="13"/>
      <c r="W75" s="135"/>
      <c r="X75" s="111"/>
      <c r="Y75" s="255"/>
      <c r="Z75" s="111"/>
      <c r="AA75" s="136"/>
      <c r="AB75" s="137"/>
      <c r="AC75" s="111"/>
      <c r="AD75" s="260"/>
      <c r="AE75" s="138"/>
      <c r="AF75" s="139"/>
      <c r="AG75" s="9"/>
      <c r="AJ75" s="11"/>
      <c r="AK75" s="9"/>
    </row>
    <row r="76" spans="1:37" hidden="1" x14ac:dyDescent="0.25">
      <c r="A76" s="359">
        <f t="shared" si="12"/>
        <v>1</v>
      </c>
      <c r="B76" s="217">
        <v>42064</v>
      </c>
      <c r="C76" s="361">
        <v>36909</v>
      </c>
      <c r="D76" s="362"/>
      <c r="E76" s="362">
        <v>16068</v>
      </c>
      <c r="F76" s="38">
        <f t="shared" si="19"/>
        <v>52977</v>
      </c>
      <c r="G76" s="361">
        <v>195</v>
      </c>
      <c r="H76" s="362"/>
      <c r="I76" s="362">
        <v>485</v>
      </c>
      <c r="J76" s="517">
        <f t="shared" si="20"/>
        <v>680</v>
      </c>
      <c r="K76" s="28"/>
      <c r="L76" s="28"/>
      <c r="M76" s="28"/>
      <c r="N76" s="28"/>
      <c r="O76" s="28"/>
      <c r="P76" s="28"/>
      <c r="Q76" s="28"/>
      <c r="R76" s="28"/>
      <c r="S76" s="13"/>
      <c r="T76" s="13"/>
      <c r="W76" s="135"/>
      <c r="X76" s="111"/>
      <c r="Y76" s="255"/>
      <c r="Z76" s="111"/>
      <c r="AA76" s="136"/>
      <c r="AB76" s="137"/>
      <c r="AC76" s="111"/>
      <c r="AD76" s="260"/>
      <c r="AE76" s="138"/>
      <c r="AF76" s="139"/>
      <c r="AG76" s="9"/>
      <c r="AJ76" s="11"/>
      <c r="AK76" s="9"/>
    </row>
    <row r="77" spans="1:37" hidden="1" x14ac:dyDescent="0.25">
      <c r="A77" s="359">
        <f t="shared" si="12"/>
        <v>1</v>
      </c>
      <c r="B77" s="217">
        <v>42095</v>
      </c>
      <c r="C77" s="361">
        <v>37175</v>
      </c>
      <c r="D77" s="362"/>
      <c r="E77" s="362">
        <v>16327</v>
      </c>
      <c r="F77" s="38">
        <f t="shared" si="19"/>
        <v>53502</v>
      </c>
      <c r="G77" s="361">
        <v>214</v>
      </c>
      <c r="H77" s="362"/>
      <c r="I77" s="362">
        <v>444</v>
      </c>
      <c r="J77" s="517">
        <f t="shared" si="20"/>
        <v>658</v>
      </c>
      <c r="K77" s="28"/>
      <c r="L77" s="28"/>
      <c r="M77" s="28"/>
      <c r="N77" s="28"/>
      <c r="O77" s="28"/>
      <c r="P77" s="28"/>
      <c r="Q77" s="28"/>
      <c r="R77" s="28"/>
      <c r="S77" s="13"/>
      <c r="T77" s="13"/>
      <c r="W77" s="135"/>
      <c r="X77" s="111"/>
      <c r="Y77" s="255"/>
      <c r="Z77" s="111"/>
      <c r="AA77" s="136"/>
      <c r="AB77" s="137"/>
      <c r="AC77" s="111"/>
      <c r="AD77" s="260"/>
      <c r="AE77" s="138"/>
      <c r="AF77" s="139"/>
      <c r="AG77" s="9"/>
      <c r="AJ77" s="11"/>
      <c r="AK77" s="9"/>
    </row>
    <row r="78" spans="1:37" hidden="1" x14ac:dyDescent="0.25">
      <c r="A78" s="359">
        <f t="shared" si="12"/>
        <v>1</v>
      </c>
      <c r="B78" s="217">
        <v>42125</v>
      </c>
      <c r="C78" s="361">
        <v>37114</v>
      </c>
      <c r="D78" s="362"/>
      <c r="E78" s="362">
        <v>16573</v>
      </c>
      <c r="F78" s="38">
        <f t="shared" si="19"/>
        <v>53687</v>
      </c>
      <c r="G78" s="361">
        <v>212</v>
      </c>
      <c r="H78" s="22"/>
      <c r="I78" s="22">
        <v>433</v>
      </c>
      <c r="J78" s="517">
        <f t="shared" si="20"/>
        <v>645</v>
      </c>
      <c r="K78" s="28"/>
      <c r="L78" s="28"/>
      <c r="M78" s="28"/>
      <c r="N78" s="28"/>
      <c r="O78" s="28"/>
      <c r="P78" s="28"/>
      <c r="Q78" s="28"/>
      <c r="R78" s="28"/>
      <c r="S78" s="13"/>
      <c r="T78" s="13"/>
      <c r="W78" s="135"/>
      <c r="X78" s="111"/>
      <c r="Y78" s="255"/>
      <c r="Z78" s="111"/>
      <c r="AA78" s="136"/>
      <c r="AB78" s="137"/>
      <c r="AC78" s="111"/>
      <c r="AD78" s="260"/>
      <c r="AE78" s="138"/>
      <c r="AF78" s="139"/>
      <c r="AG78" s="9"/>
      <c r="AJ78" s="11"/>
      <c r="AK78" s="9"/>
    </row>
    <row r="79" spans="1:37" ht="16.5" hidden="1" thickBot="1" x14ac:dyDescent="0.3">
      <c r="A79" s="359">
        <f t="shared" si="12"/>
        <v>1</v>
      </c>
      <c r="B79" s="217">
        <v>42156</v>
      </c>
      <c r="C79" s="33">
        <v>36236</v>
      </c>
      <c r="D79" s="22"/>
      <c r="E79" s="22">
        <v>16005</v>
      </c>
      <c r="F79" s="38">
        <f t="shared" si="19"/>
        <v>52241</v>
      </c>
      <c r="G79" s="33">
        <v>210</v>
      </c>
      <c r="H79" s="22"/>
      <c r="I79" s="22">
        <v>416</v>
      </c>
      <c r="J79" s="517">
        <f t="shared" si="20"/>
        <v>626</v>
      </c>
      <c r="K79" s="28"/>
      <c r="L79" s="28"/>
      <c r="M79" s="28"/>
      <c r="N79" s="28"/>
      <c r="O79" s="28"/>
      <c r="P79" s="28"/>
      <c r="Q79" s="28"/>
      <c r="R79" s="28"/>
      <c r="S79" s="13"/>
      <c r="T79" s="13"/>
      <c r="W79" s="140"/>
      <c r="X79" s="131"/>
      <c r="Y79" s="256"/>
      <c r="Z79" s="131"/>
      <c r="AA79" s="141"/>
      <c r="AB79" s="142"/>
      <c r="AC79" s="131"/>
      <c r="AD79" s="261"/>
      <c r="AE79" s="143"/>
      <c r="AF79" s="144"/>
      <c r="AG79" s="9"/>
      <c r="AJ79" s="11"/>
      <c r="AK79" s="9"/>
    </row>
    <row r="80" spans="1:37" s="371" customFormat="1" hidden="1" x14ac:dyDescent="0.25">
      <c r="A80" s="359">
        <f t="shared" si="12"/>
        <v>1</v>
      </c>
      <c r="B80" s="221" t="s">
        <v>283</v>
      </c>
      <c r="C80" s="41">
        <f>ROUND(AVERAGE(C68:C79),0)</f>
        <v>37032</v>
      </c>
      <c r="D80" s="42"/>
      <c r="E80" s="42">
        <f t="shared" ref="E80:J80" si="21">ROUND(AVERAGE(E68:E79),0)</f>
        <v>16668</v>
      </c>
      <c r="F80" s="42">
        <f t="shared" si="21"/>
        <v>53699</v>
      </c>
      <c r="G80" s="41">
        <f t="shared" si="21"/>
        <v>227</v>
      </c>
      <c r="H80" s="41" t="e">
        <f t="shared" si="21"/>
        <v>#DIV/0!</v>
      </c>
      <c r="I80" s="42">
        <f t="shared" si="21"/>
        <v>460</v>
      </c>
      <c r="J80" s="515">
        <f t="shared" si="21"/>
        <v>687</v>
      </c>
      <c r="K80" s="28"/>
      <c r="L80" s="28"/>
      <c r="M80" s="28"/>
      <c r="N80" s="28"/>
      <c r="O80" s="28"/>
      <c r="P80" s="28"/>
      <c r="Q80" s="28"/>
      <c r="R80" s="28"/>
      <c r="S80" s="13"/>
      <c r="T80" s="13"/>
      <c r="W80" s="11"/>
      <c r="X80" s="11"/>
      <c r="Y80" s="376"/>
      <c r="Z80" s="11"/>
      <c r="AA80" s="11"/>
      <c r="AB80" s="102"/>
      <c r="AC80" s="11"/>
      <c r="AD80" s="259"/>
      <c r="AE80" s="104"/>
      <c r="AF80" s="9"/>
      <c r="AG80" s="9"/>
      <c r="AJ80" s="11"/>
      <c r="AK80" s="9"/>
    </row>
    <row r="81" spans="1:37" s="371" customFormat="1" x14ac:dyDescent="0.25">
      <c r="A81" s="359">
        <f>IF(C81="",0,1)</f>
        <v>1</v>
      </c>
      <c r="B81" s="217">
        <v>42186</v>
      </c>
      <c r="C81" s="33">
        <v>35269</v>
      </c>
      <c r="D81" s="22"/>
      <c r="E81" s="22">
        <v>15382</v>
      </c>
      <c r="F81" s="38">
        <v>50651</v>
      </c>
      <c r="G81" s="33">
        <v>206</v>
      </c>
      <c r="H81" s="22"/>
      <c r="I81" s="22">
        <v>415</v>
      </c>
      <c r="J81" s="517">
        <v>621</v>
      </c>
      <c r="K81" s="28"/>
      <c r="L81" s="28"/>
      <c r="M81" s="28"/>
      <c r="N81" s="28"/>
      <c r="O81" s="28"/>
      <c r="P81" s="28"/>
      <c r="Q81" s="28"/>
      <c r="R81" s="28"/>
      <c r="S81" s="13"/>
      <c r="T81" s="13"/>
      <c r="W81" s="11"/>
      <c r="X81" s="11"/>
      <c r="Y81" s="376"/>
      <c r="Z81" s="11"/>
      <c r="AA81" s="11"/>
      <c r="AB81" s="102"/>
      <c r="AC81" s="11"/>
      <c r="AD81" s="259"/>
      <c r="AE81" s="104"/>
      <c r="AF81" s="9"/>
      <c r="AG81" s="9"/>
      <c r="AJ81" s="11"/>
      <c r="AK81" s="9"/>
    </row>
    <row r="82" spans="1:37" s="371" customFormat="1" x14ac:dyDescent="0.25">
      <c r="A82" s="359">
        <f t="shared" si="12"/>
        <v>1</v>
      </c>
      <c r="B82" s="217">
        <v>42217</v>
      </c>
      <c r="C82" s="33">
        <v>33608</v>
      </c>
      <c r="D82" s="22"/>
      <c r="E82" s="22">
        <v>14765</v>
      </c>
      <c r="F82" s="38">
        <v>48373</v>
      </c>
      <c r="G82" s="33">
        <v>189</v>
      </c>
      <c r="H82" s="22"/>
      <c r="I82" s="22">
        <v>398</v>
      </c>
      <c r="J82" s="517">
        <v>587</v>
      </c>
      <c r="K82" s="28"/>
      <c r="L82" s="28"/>
      <c r="M82" s="28"/>
      <c r="N82" s="28"/>
      <c r="O82" s="28"/>
      <c r="P82" s="28"/>
      <c r="Q82" s="28"/>
      <c r="R82" s="28"/>
      <c r="S82" s="13"/>
      <c r="T82" s="13"/>
      <c r="W82" s="11"/>
      <c r="X82" s="11"/>
      <c r="Y82" s="376"/>
      <c r="Z82" s="11"/>
      <c r="AA82" s="11"/>
      <c r="AB82" s="102"/>
      <c r="AC82" s="11"/>
      <c r="AD82" s="259"/>
      <c r="AE82" s="104"/>
      <c r="AF82" s="9"/>
      <c r="AG82" s="9"/>
      <c r="AJ82" s="11"/>
      <c r="AK82" s="9"/>
    </row>
    <row r="83" spans="1:37" s="371" customFormat="1" x14ac:dyDescent="0.25">
      <c r="A83" s="359">
        <f t="shared" si="12"/>
        <v>1</v>
      </c>
      <c r="B83" s="217">
        <v>42248</v>
      </c>
      <c r="C83" s="33">
        <v>33333</v>
      </c>
      <c r="D83" s="22"/>
      <c r="E83" s="22">
        <v>14936</v>
      </c>
      <c r="F83" s="38">
        <v>48269</v>
      </c>
      <c r="G83" s="33">
        <v>183</v>
      </c>
      <c r="H83" s="22"/>
      <c r="I83" s="22">
        <v>394</v>
      </c>
      <c r="J83" s="517">
        <v>577</v>
      </c>
      <c r="K83" s="28"/>
      <c r="L83" s="28"/>
      <c r="M83" s="28"/>
      <c r="N83" s="28"/>
      <c r="O83" s="28"/>
      <c r="P83" s="28"/>
      <c r="Q83" s="28"/>
      <c r="R83" s="28"/>
      <c r="S83" s="13"/>
      <c r="T83" s="13"/>
      <c r="W83" s="11"/>
      <c r="X83" s="11"/>
      <c r="Y83" s="376"/>
      <c r="Z83" s="11"/>
      <c r="AA83" s="11"/>
      <c r="AB83" s="102"/>
      <c r="AC83" s="11"/>
      <c r="AD83" s="259"/>
      <c r="AE83" s="104"/>
      <c r="AF83" s="9"/>
      <c r="AG83" s="9"/>
      <c r="AJ83" s="11"/>
      <c r="AK83" s="9"/>
    </row>
    <row r="84" spans="1:37" s="371" customFormat="1" x14ac:dyDescent="0.25">
      <c r="A84" s="359">
        <f t="shared" si="12"/>
        <v>1</v>
      </c>
      <c r="B84" s="217">
        <v>42278</v>
      </c>
      <c r="C84" s="33">
        <v>32011</v>
      </c>
      <c r="D84" s="22"/>
      <c r="E84" s="22">
        <v>14444</v>
      </c>
      <c r="F84" s="38">
        <v>46455</v>
      </c>
      <c r="G84" s="33">
        <v>167</v>
      </c>
      <c r="H84" s="22"/>
      <c r="I84" s="22">
        <v>405</v>
      </c>
      <c r="J84" s="517">
        <v>572</v>
      </c>
      <c r="K84" s="28"/>
      <c r="L84" s="28"/>
      <c r="M84" s="28"/>
      <c r="N84" s="28"/>
      <c r="O84" s="28"/>
      <c r="P84" s="28"/>
      <c r="Q84" s="28"/>
      <c r="R84" s="28"/>
      <c r="S84" s="13"/>
      <c r="T84" s="13"/>
      <c r="U84" s="388"/>
      <c r="W84" s="11"/>
      <c r="X84" s="11"/>
      <c r="Y84" s="376"/>
      <c r="Z84" s="11"/>
      <c r="AA84" s="11"/>
      <c r="AB84" s="102"/>
      <c r="AC84" s="11"/>
      <c r="AD84" s="259"/>
      <c r="AE84" s="104"/>
      <c r="AF84" s="9"/>
      <c r="AG84" s="9"/>
      <c r="AJ84" s="11"/>
      <c r="AK84" s="9"/>
    </row>
    <row r="85" spans="1:37" s="371" customFormat="1" x14ac:dyDescent="0.25">
      <c r="A85" s="359">
        <f t="shared" si="12"/>
        <v>1</v>
      </c>
      <c r="B85" s="217">
        <v>42309</v>
      </c>
      <c r="C85" s="33">
        <v>31821</v>
      </c>
      <c r="D85" s="22"/>
      <c r="E85" s="22">
        <v>14212</v>
      </c>
      <c r="F85" s="38">
        <v>46033</v>
      </c>
      <c r="G85" s="33">
        <v>192</v>
      </c>
      <c r="H85" s="22"/>
      <c r="I85" s="22">
        <v>449</v>
      </c>
      <c r="J85" s="517">
        <v>641</v>
      </c>
      <c r="K85" s="28"/>
      <c r="L85" s="28"/>
      <c r="M85" s="28"/>
      <c r="N85" s="28"/>
      <c r="O85" s="28"/>
      <c r="P85" s="28"/>
      <c r="Q85" s="28"/>
      <c r="R85" s="28"/>
      <c r="S85" s="13"/>
      <c r="T85" s="13"/>
      <c r="W85" s="11"/>
      <c r="X85" s="11"/>
      <c r="Y85" s="376"/>
      <c r="Z85" s="11"/>
      <c r="AA85" s="11"/>
      <c r="AB85" s="102"/>
      <c r="AC85" s="11"/>
      <c r="AD85" s="259"/>
      <c r="AE85" s="104"/>
      <c r="AF85" s="9"/>
      <c r="AG85" s="9"/>
      <c r="AJ85" s="11"/>
      <c r="AK85" s="9"/>
    </row>
    <row r="86" spans="1:37" s="371" customFormat="1" x14ac:dyDescent="0.25">
      <c r="A86" s="359">
        <f t="shared" si="12"/>
        <v>1</v>
      </c>
      <c r="B86" s="217">
        <v>42339</v>
      </c>
      <c r="C86" s="33">
        <v>32921</v>
      </c>
      <c r="D86" s="22"/>
      <c r="E86" s="22">
        <v>14908</v>
      </c>
      <c r="F86" s="38">
        <v>47829</v>
      </c>
      <c r="G86" s="33">
        <v>187</v>
      </c>
      <c r="H86" s="22"/>
      <c r="I86" s="22">
        <v>472</v>
      </c>
      <c r="J86" s="517">
        <v>659</v>
      </c>
      <c r="K86" s="28"/>
      <c r="L86" s="28"/>
      <c r="M86" s="28"/>
      <c r="N86" s="28"/>
      <c r="O86" s="28"/>
      <c r="P86" s="28"/>
      <c r="Q86" s="28"/>
      <c r="R86" s="28"/>
      <c r="S86" s="13"/>
      <c r="T86" s="13"/>
      <c r="W86" s="11"/>
      <c r="X86" s="11"/>
      <c r="Y86" s="376"/>
      <c r="Z86" s="11"/>
      <c r="AA86" s="11"/>
      <c r="AB86" s="102"/>
      <c r="AC86" s="11"/>
      <c r="AD86" s="259"/>
      <c r="AE86" s="104"/>
      <c r="AF86" s="9"/>
      <c r="AG86" s="9"/>
      <c r="AJ86" s="11"/>
      <c r="AK86" s="9"/>
    </row>
    <row r="87" spans="1:37" s="371" customFormat="1" x14ac:dyDescent="0.25">
      <c r="A87" s="359">
        <f t="shared" si="12"/>
        <v>1</v>
      </c>
      <c r="B87" s="217">
        <v>42370</v>
      </c>
      <c r="C87" s="33">
        <v>34658</v>
      </c>
      <c r="D87" s="22"/>
      <c r="E87" s="22">
        <v>16036</v>
      </c>
      <c r="F87" s="38">
        <v>50694</v>
      </c>
      <c r="G87" s="33">
        <v>205</v>
      </c>
      <c r="H87" s="22"/>
      <c r="I87" s="22">
        <v>506</v>
      </c>
      <c r="J87" s="517">
        <v>711</v>
      </c>
      <c r="K87" s="28"/>
      <c r="L87" s="28"/>
      <c r="M87" s="28"/>
      <c r="N87" s="28"/>
      <c r="O87" s="28"/>
      <c r="P87" s="28"/>
      <c r="Q87" s="28"/>
      <c r="R87" s="28"/>
      <c r="S87" s="13"/>
      <c r="T87" s="13"/>
      <c r="W87" s="11"/>
      <c r="X87" s="11"/>
      <c r="Y87" s="376"/>
      <c r="Z87" s="11"/>
      <c r="AA87" s="11"/>
      <c r="AB87" s="102"/>
      <c r="AC87" s="11"/>
      <c r="AD87" s="259"/>
      <c r="AE87" s="104"/>
      <c r="AF87" s="9"/>
      <c r="AG87" s="9"/>
      <c r="AJ87" s="11"/>
      <c r="AK87" s="9"/>
    </row>
    <row r="88" spans="1:37" s="371" customFormat="1" x14ac:dyDescent="0.25">
      <c r="A88" s="359">
        <f t="shared" si="12"/>
        <v>1</v>
      </c>
      <c r="B88" s="217">
        <v>42401</v>
      </c>
      <c r="C88" s="33">
        <v>35557</v>
      </c>
      <c r="D88" s="22"/>
      <c r="E88" s="22">
        <v>16728</v>
      </c>
      <c r="F88" s="38">
        <v>52285</v>
      </c>
      <c r="G88" s="33">
        <v>202</v>
      </c>
      <c r="H88" s="22"/>
      <c r="I88" s="22">
        <v>515</v>
      </c>
      <c r="J88" s="517">
        <v>717</v>
      </c>
      <c r="K88" s="28"/>
      <c r="L88" s="28"/>
      <c r="M88" s="28"/>
      <c r="N88" s="28"/>
      <c r="O88" s="28"/>
      <c r="P88" s="28"/>
      <c r="Q88" s="28"/>
      <c r="R88" s="28"/>
      <c r="S88" s="13"/>
      <c r="T88" s="13"/>
      <c r="W88" s="11"/>
      <c r="X88" s="11"/>
      <c r="Y88" s="376"/>
      <c r="Z88" s="11"/>
      <c r="AA88" s="11"/>
      <c r="AB88" s="102"/>
      <c r="AC88" s="11"/>
      <c r="AD88" s="259"/>
      <c r="AE88" s="104"/>
      <c r="AF88" s="9"/>
      <c r="AG88" s="9"/>
      <c r="AJ88" s="11"/>
      <c r="AK88" s="9"/>
    </row>
    <row r="89" spans="1:37" s="371" customFormat="1" x14ac:dyDescent="0.25">
      <c r="A89" s="359">
        <f t="shared" si="12"/>
        <v>1</v>
      </c>
      <c r="B89" s="217">
        <v>42430</v>
      </c>
      <c r="C89" s="33">
        <v>36075</v>
      </c>
      <c r="D89" s="22"/>
      <c r="E89" s="22">
        <v>17257</v>
      </c>
      <c r="F89" s="38">
        <v>53332</v>
      </c>
      <c r="G89" s="33">
        <v>196</v>
      </c>
      <c r="H89" s="22"/>
      <c r="I89" s="22">
        <v>529</v>
      </c>
      <c r="J89" s="517">
        <v>725</v>
      </c>
      <c r="K89" s="28"/>
      <c r="L89" s="28"/>
      <c r="M89" s="28"/>
      <c r="N89" s="28"/>
      <c r="O89" s="28"/>
      <c r="P89" s="28"/>
      <c r="Q89" s="28"/>
      <c r="R89" s="28"/>
      <c r="S89" s="13"/>
      <c r="T89" s="13"/>
      <c r="W89" s="11"/>
      <c r="X89" s="11"/>
      <c r="Y89" s="376"/>
      <c r="Z89" s="11"/>
      <c r="AA89" s="11"/>
      <c r="AB89" s="102"/>
      <c r="AC89" s="11"/>
      <c r="AD89" s="259"/>
      <c r="AE89" s="104"/>
      <c r="AF89" s="9"/>
      <c r="AG89" s="9"/>
      <c r="AJ89" s="11"/>
      <c r="AK89" s="9"/>
    </row>
    <row r="90" spans="1:37" s="371" customFormat="1" x14ac:dyDescent="0.25">
      <c r="A90" s="359">
        <f t="shared" si="12"/>
        <v>1</v>
      </c>
      <c r="B90" s="217">
        <v>42461</v>
      </c>
      <c r="C90" s="33">
        <v>37075</v>
      </c>
      <c r="D90" s="22"/>
      <c r="E90" s="22">
        <v>17763</v>
      </c>
      <c r="F90" s="38">
        <v>54838</v>
      </c>
      <c r="G90" s="33">
        <v>212</v>
      </c>
      <c r="H90" s="22"/>
      <c r="I90" s="22">
        <v>519</v>
      </c>
      <c r="J90" s="517">
        <v>731</v>
      </c>
      <c r="K90" s="28"/>
      <c r="L90" s="28"/>
      <c r="M90" s="28"/>
      <c r="N90" s="28"/>
      <c r="O90" s="28"/>
      <c r="P90" s="28"/>
      <c r="Q90" s="28"/>
      <c r="R90" s="28"/>
      <c r="S90" s="13"/>
      <c r="T90" s="13"/>
      <c r="W90" s="11"/>
      <c r="X90" s="11"/>
      <c r="Y90" s="376"/>
      <c r="Z90" s="11"/>
      <c r="AA90" s="11"/>
      <c r="AB90" s="102"/>
      <c r="AC90" s="11"/>
      <c r="AD90" s="259"/>
      <c r="AE90" s="104"/>
      <c r="AF90" s="9"/>
      <c r="AG90" s="9"/>
      <c r="AJ90" s="11"/>
      <c r="AK90" s="9"/>
    </row>
    <row r="91" spans="1:37" s="371" customFormat="1" x14ac:dyDescent="0.25">
      <c r="A91" s="359">
        <f t="shared" si="12"/>
        <v>1</v>
      </c>
      <c r="B91" s="217">
        <v>42491</v>
      </c>
      <c r="C91" s="33">
        <v>38019</v>
      </c>
      <c r="D91" s="22"/>
      <c r="E91" s="22">
        <v>18204</v>
      </c>
      <c r="F91" s="38">
        <v>56223</v>
      </c>
      <c r="G91" s="33">
        <v>225</v>
      </c>
      <c r="H91" s="22"/>
      <c r="I91" s="22">
        <v>515</v>
      </c>
      <c r="J91" s="517">
        <v>740</v>
      </c>
      <c r="K91" s="28"/>
      <c r="L91" s="28"/>
      <c r="M91" s="28"/>
      <c r="N91" s="28"/>
      <c r="O91" s="28"/>
      <c r="P91" s="28"/>
      <c r="Q91" s="28"/>
      <c r="R91" s="28"/>
      <c r="S91" s="13"/>
      <c r="T91" s="13"/>
      <c r="W91" s="11"/>
      <c r="X91" s="11"/>
      <c r="Y91" s="376"/>
      <c r="Z91" s="11"/>
      <c r="AA91" s="11"/>
      <c r="AB91" s="102"/>
      <c r="AC91" s="11"/>
      <c r="AD91" s="259"/>
      <c r="AE91" s="104"/>
      <c r="AF91" s="9"/>
      <c r="AG91" s="9"/>
      <c r="AJ91" s="11"/>
      <c r="AK91" s="9"/>
    </row>
    <row r="92" spans="1:37" s="371" customFormat="1" x14ac:dyDescent="0.25">
      <c r="A92" s="359">
        <f t="shared" si="12"/>
        <v>1</v>
      </c>
      <c r="B92" s="217">
        <v>42522</v>
      </c>
      <c r="C92" s="33">
        <v>38938</v>
      </c>
      <c r="D92" s="22"/>
      <c r="E92" s="22">
        <v>18568</v>
      </c>
      <c r="F92" s="38">
        <v>57506</v>
      </c>
      <c r="G92" s="33">
        <v>220</v>
      </c>
      <c r="H92" s="22"/>
      <c r="I92" s="22">
        <v>514</v>
      </c>
      <c r="J92" s="517">
        <v>734</v>
      </c>
      <c r="K92" s="28"/>
      <c r="L92" s="28"/>
      <c r="M92" s="28"/>
      <c r="N92" s="28"/>
      <c r="O92" s="28"/>
      <c r="P92" s="28"/>
      <c r="Q92" s="28"/>
      <c r="R92" s="28"/>
      <c r="S92" s="13"/>
      <c r="T92" s="13"/>
      <c r="W92" s="11"/>
      <c r="X92" s="11"/>
      <c r="Y92" s="376"/>
      <c r="Z92" s="11"/>
      <c r="AA92" s="11"/>
      <c r="AB92" s="102"/>
      <c r="AC92" s="11"/>
      <c r="AD92" s="259"/>
      <c r="AE92" s="104"/>
      <c r="AF92" s="9"/>
      <c r="AG92" s="9"/>
      <c r="AJ92" s="11"/>
      <c r="AK92" s="9"/>
    </row>
    <row r="93" spans="1:37" s="455" customFormat="1" x14ac:dyDescent="0.25">
      <c r="A93" s="359">
        <f t="shared" si="12"/>
        <v>1</v>
      </c>
      <c r="B93" s="221" t="s">
        <v>326</v>
      </c>
      <c r="C93" s="41">
        <v>34940</v>
      </c>
      <c r="D93" s="42"/>
      <c r="E93" s="42">
        <v>16100</v>
      </c>
      <c r="F93" s="42">
        <v>51041</v>
      </c>
      <c r="G93" s="41">
        <v>199</v>
      </c>
      <c r="H93" s="41" t="e">
        <v>#DIV/0!</v>
      </c>
      <c r="I93" s="42">
        <v>469</v>
      </c>
      <c r="J93" s="515">
        <v>668</v>
      </c>
      <c r="K93" s="28"/>
      <c r="L93" s="28"/>
      <c r="M93" s="28"/>
      <c r="N93" s="28"/>
      <c r="O93" s="28"/>
      <c r="P93" s="28"/>
      <c r="Q93" s="28"/>
      <c r="R93" s="28"/>
      <c r="S93" s="13"/>
      <c r="T93" s="13"/>
      <c r="W93" s="11"/>
      <c r="X93" s="11"/>
      <c r="Y93" s="376"/>
      <c r="Z93" s="11"/>
      <c r="AA93" s="11"/>
      <c r="AB93" s="102"/>
      <c r="AC93" s="11"/>
      <c r="AD93" s="259"/>
      <c r="AE93" s="104"/>
      <c r="AF93" s="9"/>
      <c r="AG93" s="9"/>
      <c r="AJ93" s="11"/>
      <c r="AK93" s="9"/>
    </row>
    <row r="94" spans="1:37" s="455" customFormat="1" x14ac:dyDescent="0.25">
      <c r="A94" s="359">
        <f t="shared" si="12"/>
        <v>1</v>
      </c>
      <c r="B94" s="217">
        <v>42552</v>
      </c>
      <c r="C94" s="33">
        <v>39962</v>
      </c>
      <c r="D94" s="22"/>
      <c r="E94" s="22">
        <v>18968</v>
      </c>
      <c r="F94" s="38">
        <v>58930</v>
      </c>
      <c r="G94" s="33">
        <v>227</v>
      </c>
      <c r="H94" s="22"/>
      <c r="I94" s="22">
        <v>509</v>
      </c>
      <c r="J94" s="517">
        <v>736</v>
      </c>
      <c r="K94" s="28"/>
      <c r="L94" s="28"/>
      <c r="M94" s="28"/>
      <c r="N94" s="28"/>
      <c r="O94" s="28"/>
      <c r="P94" s="28"/>
      <c r="Q94" s="28"/>
      <c r="R94" s="28"/>
      <c r="S94" s="13"/>
      <c r="T94" s="13"/>
      <c r="W94" s="11"/>
      <c r="X94" s="11"/>
      <c r="Y94" s="376"/>
      <c r="Z94" s="11"/>
      <c r="AA94" s="11"/>
      <c r="AB94" s="102"/>
      <c r="AC94" s="11"/>
      <c r="AD94" s="259"/>
      <c r="AE94" s="104"/>
      <c r="AF94" s="9"/>
      <c r="AG94" s="9"/>
      <c r="AJ94" s="11"/>
      <c r="AK94" s="9"/>
    </row>
    <row r="95" spans="1:37" s="455" customFormat="1" x14ac:dyDescent="0.25">
      <c r="A95" s="359">
        <f t="shared" si="12"/>
        <v>1</v>
      </c>
      <c r="B95" s="217">
        <v>42583</v>
      </c>
      <c r="C95" s="33">
        <v>41345</v>
      </c>
      <c r="D95" s="22"/>
      <c r="E95" s="22">
        <v>19419</v>
      </c>
      <c r="F95" s="38">
        <v>60764</v>
      </c>
      <c r="G95" s="33">
        <v>200</v>
      </c>
      <c r="H95" s="22"/>
      <c r="I95" s="22">
        <v>497</v>
      </c>
      <c r="J95" s="517">
        <v>697</v>
      </c>
      <c r="K95" s="28"/>
      <c r="L95" s="28"/>
      <c r="M95" s="28"/>
      <c r="N95" s="28"/>
      <c r="O95" s="28"/>
      <c r="P95" s="28"/>
      <c r="Q95" s="28"/>
      <c r="R95" s="28"/>
      <c r="S95" s="13"/>
      <c r="T95" s="13"/>
      <c r="W95" s="11"/>
      <c r="X95" s="11"/>
      <c r="Y95" s="376"/>
      <c r="Z95" s="11"/>
      <c r="AA95" s="11"/>
      <c r="AB95" s="102"/>
      <c r="AC95" s="11"/>
      <c r="AD95" s="259"/>
      <c r="AE95" s="104"/>
      <c r="AF95" s="9"/>
      <c r="AG95" s="9"/>
      <c r="AJ95" s="11"/>
      <c r="AK95" s="9"/>
    </row>
    <row r="96" spans="1:37" s="455" customFormat="1" x14ac:dyDescent="0.25">
      <c r="A96" s="359">
        <f t="shared" si="12"/>
        <v>1</v>
      </c>
      <c r="B96" s="217">
        <v>42614</v>
      </c>
      <c r="C96" s="33">
        <v>41419</v>
      </c>
      <c r="D96" s="22"/>
      <c r="E96" s="22">
        <v>19945</v>
      </c>
      <c r="F96" s="38">
        <v>61364</v>
      </c>
      <c r="G96" s="33">
        <v>199</v>
      </c>
      <c r="H96" s="22"/>
      <c r="I96" s="22">
        <v>477</v>
      </c>
      <c r="J96" s="517">
        <v>676</v>
      </c>
      <c r="K96" s="28"/>
      <c r="L96" s="28"/>
      <c r="M96" s="28"/>
      <c r="N96" s="28"/>
      <c r="O96" s="28"/>
      <c r="P96" s="28"/>
      <c r="Q96" s="28"/>
      <c r="R96" s="28"/>
      <c r="S96" s="13"/>
      <c r="T96" s="13"/>
      <c r="W96" s="11"/>
      <c r="X96" s="11"/>
      <c r="Y96" s="376"/>
      <c r="Z96" s="11"/>
      <c r="AA96" s="11"/>
      <c r="AB96" s="102"/>
      <c r="AC96" s="11"/>
      <c r="AD96" s="259"/>
      <c r="AE96" s="104"/>
      <c r="AF96" s="9"/>
      <c r="AG96" s="9"/>
      <c r="AJ96" s="11"/>
      <c r="AK96" s="9"/>
    </row>
    <row r="97" spans="1:37" s="455" customFormat="1" x14ac:dyDescent="0.25">
      <c r="A97" s="359">
        <f t="shared" si="12"/>
        <v>1</v>
      </c>
      <c r="B97" s="217">
        <v>42644</v>
      </c>
      <c r="C97" s="33">
        <v>40987</v>
      </c>
      <c r="D97" s="22"/>
      <c r="E97" s="22">
        <v>19751</v>
      </c>
      <c r="F97" s="38">
        <v>60738</v>
      </c>
      <c r="G97" s="33">
        <v>205</v>
      </c>
      <c r="H97" s="22"/>
      <c r="I97" s="22">
        <v>443</v>
      </c>
      <c r="J97" s="517">
        <v>648</v>
      </c>
      <c r="K97" s="28"/>
      <c r="L97" s="28"/>
      <c r="M97" s="28"/>
      <c r="N97" s="28"/>
      <c r="O97" s="28"/>
      <c r="P97" s="28"/>
      <c r="Q97" s="28"/>
      <c r="R97" s="28"/>
      <c r="S97" s="13"/>
      <c r="T97" s="13"/>
      <c r="W97" s="11"/>
      <c r="X97" s="11"/>
      <c r="Y97" s="376"/>
      <c r="Z97" s="11"/>
      <c r="AA97" s="11"/>
      <c r="AB97" s="102"/>
      <c r="AC97" s="11"/>
      <c r="AD97" s="259"/>
      <c r="AE97" s="104"/>
      <c r="AF97" s="9"/>
      <c r="AG97" s="9"/>
      <c r="AJ97" s="11"/>
      <c r="AK97" s="9"/>
    </row>
    <row r="98" spans="1:37" s="455" customFormat="1" x14ac:dyDescent="0.25">
      <c r="A98" s="359">
        <f t="shared" si="12"/>
        <v>1</v>
      </c>
      <c r="B98" s="217">
        <v>42675</v>
      </c>
      <c r="C98" s="33">
        <v>40451</v>
      </c>
      <c r="D98" s="22"/>
      <c r="E98" s="22">
        <v>19205</v>
      </c>
      <c r="F98" s="38">
        <v>59656</v>
      </c>
      <c r="G98" s="33">
        <v>202</v>
      </c>
      <c r="H98" s="22"/>
      <c r="I98" s="22">
        <v>464</v>
      </c>
      <c r="J98" s="517">
        <v>666</v>
      </c>
      <c r="K98" s="28"/>
      <c r="L98" s="28"/>
      <c r="M98" s="28"/>
      <c r="N98" s="28"/>
      <c r="O98" s="28"/>
      <c r="P98" s="28"/>
      <c r="Q98" s="28"/>
      <c r="R98" s="28"/>
      <c r="S98" s="13"/>
      <c r="T98" s="13"/>
      <c r="W98" s="11"/>
      <c r="X98" s="11"/>
      <c r="Y98" s="376"/>
      <c r="Z98" s="11"/>
      <c r="AA98" s="11"/>
      <c r="AB98" s="102"/>
      <c r="AC98" s="11"/>
      <c r="AD98" s="259"/>
      <c r="AE98" s="104"/>
      <c r="AF98" s="9"/>
      <c r="AG98" s="9"/>
      <c r="AJ98" s="11"/>
      <c r="AK98" s="9"/>
    </row>
    <row r="99" spans="1:37" s="455" customFormat="1" x14ac:dyDescent="0.25">
      <c r="A99" s="359">
        <f t="shared" si="12"/>
        <v>1</v>
      </c>
      <c r="B99" s="217">
        <v>42705</v>
      </c>
      <c r="C99" s="33">
        <v>41974</v>
      </c>
      <c r="D99" s="22"/>
      <c r="E99" s="22">
        <v>19860</v>
      </c>
      <c r="F99" s="38">
        <v>61834</v>
      </c>
      <c r="G99" s="33">
        <v>199</v>
      </c>
      <c r="H99" s="22"/>
      <c r="I99" s="22">
        <v>494</v>
      </c>
      <c r="J99" s="517">
        <v>693</v>
      </c>
      <c r="K99" s="28"/>
      <c r="L99" s="28"/>
      <c r="M99" s="28"/>
      <c r="N99" s="28"/>
      <c r="O99" s="28"/>
      <c r="P99" s="28"/>
      <c r="Q99" s="28"/>
      <c r="R99" s="28"/>
      <c r="S99" s="13"/>
      <c r="T99" s="13"/>
      <c r="W99" s="11"/>
      <c r="X99" s="11"/>
      <c r="Y99" s="376"/>
      <c r="Z99" s="11"/>
      <c r="AA99" s="11"/>
      <c r="AB99" s="102"/>
      <c r="AC99" s="11"/>
      <c r="AD99" s="259"/>
      <c r="AE99" s="104"/>
      <c r="AF99" s="9"/>
      <c r="AG99" s="9"/>
      <c r="AJ99" s="11"/>
      <c r="AK99" s="9"/>
    </row>
    <row r="100" spans="1:37" s="455" customFormat="1" x14ac:dyDescent="0.25">
      <c r="A100" s="359">
        <f t="shared" si="12"/>
        <v>1</v>
      </c>
      <c r="B100" s="217">
        <v>42736</v>
      </c>
      <c r="C100" s="33">
        <v>42653</v>
      </c>
      <c r="D100" s="22"/>
      <c r="E100" s="22">
        <v>20732</v>
      </c>
      <c r="F100" s="38">
        <v>63385</v>
      </c>
      <c r="G100" s="33">
        <v>204</v>
      </c>
      <c r="H100" s="22"/>
      <c r="I100" s="22">
        <v>510</v>
      </c>
      <c r="J100" s="517">
        <v>714</v>
      </c>
      <c r="K100" s="28"/>
      <c r="L100" s="28"/>
      <c r="M100" s="28"/>
      <c r="N100" s="28"/>
      <c r="O100" s="28"/>
      <c r="P100" s="28"/>
      <c r="Q100" s="28"/>
      <c r="R100" s="28"/>
      <c r="S100" s="13"/>
      <c r="T100" s="13"/>
      <c r="W100" s="11"/>
      <c r="X100" s="11"/>
      <c r="Y100" s="376"/>
      <c r="Z100" s="11"/>
      <c r="AA100" s="11"/>
      <c r="AB100" s="102"/>
      <c r="AC100" s="11"/>
      <c r="AD100" s="259"/>
      <c r="AE100" s="104"/>
      <c r="AF100" s="9"/>
      <c r="AG100" s="9"/>
      <c r="AJ100" s="11"/>
      <c r="AK100" s="9"/>
    </row>
    <row r="101" spans="1:37" s="455" customFormat="1" x14ac:dyDescent="0.25">
      <c r="A101" s="359">
        <f t="shared" si="12"/>
        <v>1</v>
      </c>
      <c r="B101" s="217">
        <v>42767</v>
      </c>
      <c r="C101" s="33">
        <v>43074</v>
      </c>
      <c r="D101" s="22"/>
      <c r="E101" s="22">
        <v>21191</v>
      </c>
      <c r="F101" s="38">
        <v>64265</v>
      </c>
      <c r="G101" s="33">
        <v>208</v>
      </c>
      <c r="H101" s="22"/>
      <c r="I101" s="22">
        <v>498</v>
      </c>
      <c r="J101" s="517">
        <v>706</v>
      </c>
      <c r="K101" s="28"/>
      <c r="L101" s="28"/>
      <c r="M101" s="28"/>
      <c r="N101" s="28"/>
      <c r="O101" s="28"/>
      <c r="P101" s="28"/>
      <c r="Q101" s="28"/>
      <c r="R101" s="28"/>
      <c r="S101" s="13"/>
      <c r="T101" s="13"/>
      <c r="W101" s="11"/>
      <c r="X101" s="11"/>
      <c r="Y101" s="376"/>
      <c r="Z101" s="11"/>
      <c r="AA101" s="11"/>
      <c r="AB101" s="102"/>
      <c r="AC101" s="11"/>
      <c r="AD101" s="259"/>
      <c r="AE101" s="104"/>
      <c r="AF101" s="9"/>
      <c r="AG101" s="9"/>
      <c r="AJ101" s="11"/>
      <c r="AK101" s="9"/>
    </row>
    <row r="102" spans="1:37" s="455" customFormat="1" x14ac:dyDescent="0.25">
      <c r="A102" s="359">
        <f t="shared" si="12"/>
        <v>1</v>
      </c>
      <c r="B102" s="217">
        <v>42795</v>
      </c>
      <c r="C102" s="33">
        <v>47726</v>
      </c>
      <c r="D102" s="22"/>
      <c r="E102" s="22">
        <v>23839</v>
      </c>
      <c r="F102" s="38">
        <v>71565</v>
      </c>
      <c r="G102" s="33">
        <v>248</v>
      </c>
      <c r="H102" s="22"/>
      <c r="I102" s="22">
        <v>523</v>
      </c>
      <c r="J102" s="517">
        <v>771</v>
      </c>
      <c r="K102" s="28"/>
      <c r="L102" s="28"/>
      <c r="M102" s="28"/>
      <c r="N102" s="28"/>
      <c r="O102" s="28"/>
      <c r="P102" s="28"/>
      <c r="Q102" s="28"/>
      <c r="R102" s="28"/>
      <c r="S102" s="13"/>
      <c r="T102" s="13"/>
      <c r="W102" s="11"/>
      <c r="X102" s="11"/>
      <c r="Y102" s="376"/>
      <c r="Z102" s="11"/>
      <c r="AA102" s="11"/>
      <c r="AB102" s="102"/>
      <c r="AC102" s="11"/>
      <c r="AD102" s="259"/>
      <c r="AE102" s="104"/>
      <c r="AF102" s="9"/>
      <c r="AG102" s="9"/>
      <c r="AJ102" s="11"/>
      <c r="AK102" s="9"/>
    </row>
    <row r="103" spans="1:37" s="455" customFormat="1" x14ac:dyDescent="0.25">
      <c r="A103" s="359">
        <f t="shared" si="12"/>
        <v>1</v>
      </c>
      <c r="B103" s="217">
        <v>42826</v>
      </c>
      <c r="C103" s="33">
        <v>49020</v>
      </c>
      <c r="D103" s="22"/>
      <c r="E103" s="22">
        <v>24052</v>
      </c>
      <c r="F103" s="38">
        <v>73072</v>
      </c>
      <c r="G103" s="33">
        <v>261</v>
      </c>
      <c r="H103" s="22"/>
      <c r="I103" s="22">
        <v>515</v>
      </c>
      <c r="J103" s="517">
        <v>776</v>
      </c>
      <c r="K103" s="28"/>
      <c r="L103" s="28"/>
      <c r="M103" s="28"/>
      <c r="N103" s="28"/>
      <c r="O103" s="28"/>
      <c r="P103" s="28"/>
      <c r="Q103" s="28"/>
      <c r="R103" s="28"/>
      <c r="S103" s="13"/>
      <c r="T103" s="13"/>
      <c r="W103" s="11"/>
      <c r="X103" s="11"/>
      <c r="Y103" s="376"/>
      <c r="Z103" s="11"/>
      <c r="AA103" s="11"/>
      <c r="AB103" s="102"/>
      <c r="AC103" s="11"/>
      <c r="AD103" s="259"/>
      <c r="AE103" s="104"/>
      <c r="AF103" s="9"/>
      <c r="AG103" s="9"/>
      <c r="AJ103" s="11"/>
      <c r="AK103" s="9"/>
    </row>
    <row r="104" spans="1:37" s="455" customFormat="1" x14ac:dyDescent="0.25">
      <c r="A104" s="359">
        <f t="shared" si="12"/>
        <v>1</v>
      </c>
      <c r="B104" s="217">
        <v>42856</v>
      </c>
      <c r="C104" s="33">
        <v>49447</v>
      </c>
      <c r="D104" s="22"/>
      <c r="E104" s="22">
        <v>24214</v>
      </c>
      <c r="F104" s="38">
        <v>73661</v>
      </c>
      <c r="G104" s="33">
        <v>276</v>
      </c>
      <c r="H104" s="22"/>
      <c r="I104" s="22">
        <v>502</v>
      </c>
      <c r="J104" s="517">
        <v>778</v>
      </c>
      <c r="K104" s="28"/>
      <c r="L104" s="28"/>
      <c r="M104" s="28"/>
      <c r="N104" s="28"/>
      <c r="O104" s="28"/>
      <c r="P104" s="28"/>
      <c r="Q104" s="28"/>
      <c r="R104" s="28"/>
      <c r="S104" s="13"/>
      <c r="T104" s="13"/>
      <c r="W104" s="11"/>
      <c r="X104" s="11"/>
      <c r="Y104" s="376"/>
      <c r="Z104" s="11"/>
      <c r="AA104" s="11"/>
      <c r="AB104" s="102"/>
      <c r="AC104" s="11"/>
      <c r="AD104" s="259"/>
      <c r="AE104" s="104"/>
      <c r="AF104" s="9"/>
      <c r="AG104" s="9"/>
      <c r="AJ104" s="11"/>
      <c r="AK104" s="9"/>
    </row>
    <row r="105" spans="1:37" s="455" customFormat="1" x14ac:dyDescent="0.25">
      <c r="A105" s="359">
        <f t="shared" si="12"/>
        <v>1</v>
      </c>
      <c r="B105" s="217">
        <v>42887</v>
      </c>
      <c r="C105" s="33">
        <v>49587</v>
      </c>
      <c r="D105" s="22"/>
      <c r="E105" s="22">
        <v>24293</v>
      </c>
      <c r="F105" s="38">
        <v>73880</v>
      </c>
      <c r="G105" s="33">
        <v>275</v>
      </c>
      <c r="H105" s="22"/>
      <c r="I105" s="22">
        <v>486</v>
      </c>
      <c r="J105" s="517">
        <v>761</v>
      </c>
      <c r="K105" s="28"/>
      <c r="L105" s="28"/>
      <c r="M105" s="28"/>
      <c r="N105" s="28"/>
      <c r="O105" s="28"/>
      <c r="P105" s="28"/>
      <c r="Q105" s="28"/>
      <c r="R105" s="28"/>
      <c r="S105" s="13"/>
      <c r="T105" s="13"/>
      <c r="W105" s="11"/>
      <c r="X105" s="11"/>
      <c r="Y105" s="376"/>
      <c r="Z105" s="11"/>
      <c r="AA105" s="11"/>
      <c r="AB105" s="102"/>
      <c r="AC105" s="11"/>
      <c r="AD105" s="259"/>
      <c r="AE105" s="104"/>
      <c r="AF105" s="9"/>
      <c r="AG105" s="9"/>
      <c r="AJ105" s="11"/>
      <c r="AK105" s="9"/>
    </row>
    <row r="106" spans="1:37" s="455" customFormat="1" x14ac:dyDescent="0.25">
      <c r="A106" s="359">
        <f t="shared" si="12"/>
        <v>1</v>
      </c>
      <c r="B106" s="221" t="s">
        <v>375</v>
      </c>
      <c r="C106" s="41">
        <v>43970</v>
      </c>
      <c r="D106" s="42"/>
      <c r="E106" s="42">
        <v>21289</v>
      </c>
      <c r="F106" s="42">
        <v>65260</v>
      </c>
      <c r="G106" s="41">
        <v>225</v>
      </c>
      <c r="H106" s="41" t="e">
        <v>#DIV/0!</v>
      </c>
      <c r="I106" s="42">
        <v>493</v>
      </c>
      <c r="J106" s="515">
        <v>719</v>
      </c>
      <c r="K106" s="28"/>
      <c r="L106" s="28"/>
      <c r="M106" s="28"/>
      <c r="N106" s="28"/>
      <c r="O106" s="28"/>
      <c r="P106" s="28"/>
      <c r="Q106" s="28"/>
      <c r="R106" s="28"/>
      <c r="S106" s="13"/>
      <c r="T106" s="13"/>
      <c r="W106" s="11"/>
      <c r="X106" s="11"/>
      <c r="Y106" s="376"/>
      <c r="Z106" s="11"/>
      <c r="AA106" s="11"/>
      <c r="AB106" s="102"/>
      <c r="AC106" s="11"/>
      <c r="AD106" s="259"/>
      <c r="AE106" s="104"/>
      <c r="AF106" s="9"/>
      <c r="AG106" s="9"/>
      <c r="AJ106" s="11"/>
      <c r="AK106" s="9"/>
    </row>
    <row r="107" spans="1:37" s="455" customFormat="1" x14ac:dyDescent="0.25">
      <c r="A107" s="359">
        <f t="shared" si="12"/>
        <v>1</v>
      </c>
      <c r="B107" s="217">
        <v>42917</v>
      </c>
      <c r="C107" s="33">
        <v>50236</v>
      </c>
      <c r="D107" s="22"/>
      <c r="E107" s="22">
        <v>24236</v>
      </c>
      <c r="F107" s="38">
        <v>74472</v>
      </c>
      <c r="G107" s="33">
        <v>279</v>
      </c>
      <c r="H107" s="22"/>
      <c r="I107" s="22">
        <v>503</v>
      </c>
      <c r="J107" s="517">
        <v>782</v>
      </c>
      <c r="K107" s="28"/>
      <c r="L107" s="28"/>
      <c r="M107" s="28"/>
      <c r="N107" s="28"/>
      <c r="O107" s="28"/>
      <c r="P107" s="28"/>
      <c r="Q107" s="28"/>
      <c r="R107" s="28"/>
      <c r="S107" s="13"/>
      <c r="T107" s="13"/>
      <c r="W107" s="11"/>
      <c r="X107" s="11"/>
      <c r="Y107" s="376"/>
      <c r="Z107" s="11"/>
      <c r="AA107" s="11"/>
      <c r="AB107" s="102"/>
      <c r="AC107" s="11"/>
      <c r="AD107" s="259"/>
      <c r="AE107" s="104"/>
      <c r="AF107" s="9"/>
      <c r="AG107" s="9"/>
      <c r="AJ107" s="11"/>
      <c r="AK107" s="9"/>
    </row>
    <row r="108" spans="1:37" s="455" customFormat="1" x14ac:dyDescent="0.25">
      <c r="A108" s="359">
        <f t="shared" si="12"/>
        <v>1</v>
      </c>
      <c r="B108" s="217">
        <v>42948</v>
      </c>
      <c r="C108" s="33">
        <v>50635</v>
      </c>
      <c r="D108" s="22"/>
      <c r="E108" s="22">
        <v>24652</v>
      </c>
      <c r="F108" s="38">
        <v>75287</v>
      </c>
      <c r="G108" s="33">
        <v>279</v>
      </c>
      <c r="H108" s="22"/>
      <c r="I108" s="22">
        <v>509</v>
      </c>
      <c r="J108" s="517">
        <v>788</v>
      </c>
      <c r="K108" s="28"/>
      <c r="L108" s="28"/>
      <c r="M108" s="28"/>
      <c r="N108" s="28"/>
      <c r="O108" s="28"/>
      <c r="P108" s="28"/>
      <c r="Q108" s="28"/>
      <c r="R108" s="28"/>
      <c r="S108" s="13"/>
      <c r="T108" s="13"/>
      <c r="W108" s="11"/>
      <c r="X108" s="11"/>
      <c r="Y108" s="376"/>
      <c r="Z108" s="11"/>
      <c r="AA108" s="11"/>
      <c r="AB108" s="102"/>
      <c r="AC108" s="11"/>
      <c r="AD108" s="259"/>
      <c r="AE108" s="104"/>
      <c r="AF108" s="9"/>
      <c r="AG108" s="9"/>
      <c r="AJ108" s="11"/>
      <c r="AK108" s="9"/>
    </row>
    <row r="109" spans="1:37" s="455" customFormat="1" x14ac:dyDescent="0.25">
      <c r="A109" s="359">
        <f t="shared" si="12"/>
        <v>1</v>
      </c>
      <c r="B109" s="217">
        <v>42979</v>
      </c>
      <c r="C109" s="33">
        <v>49863</v>
      </c>
      <c r="D109" s="22"/>
      <c r="E109" s="22">
        <v>24686</v>
      </c>
      <c r="F109" s="38">
        <v>74549</v>
      </c>
      <c r="G109" s="33">
        <v>273</v>
      </c>
      <c r="H109" s="22"/>
      <c r="I109" s="22">
        <v>512</v>
      </c>
      <c r="J109" s="517">
        <v>785</v>
      </c>
      <c r="K109" s="28"/>
      <c r="L109" s="28"/>
      <c r="M109" s="28"/>
      <c r="N109" s="28"/>
      <c r="O109" s="28"/>
      <c r="P109" s="28"/>
      <c r="Q109" s="28"/>
      <c r="R109" s="28"/>
      <c r="S109" s="13"/>
      <c r="T109" s="13"/>
      <c r="W109" s="11"/>
      <c r="X109" s="11"/>
      <c r="Y109" s="376"/>
      <c r="Z109" s="11"/>
      <c r="AA109" s="11"/>
      <c r="AB109" s="102"/>
      <c r="AC109" s="11"/>
      <c r="AD109" s="259"/>
      <c r="AE109" s="104"/>
      <c r="AF109" s="9"/>
      <c r="AG109" s="9"/>
      <c r="AJ109" s="11"/>
      <c r="AK109" s="9"/>
    </row>
    <row r="110" spans="1:37" s="455" customFormat="1" x14ac:dyDescent="0.25">
      <c r="A110" s="359">
        <f t="shared" si="12"/>
        <v>1</v>
      </c>
      <c r="B110" s="217">
        <v>43009</v>
      </c>
      <c r="C110" s="33">
        <v>49855</v>
      </c>
      <c r="D110" s="22"/>
      <c r="E110" s="22">
        <v>25018</v>
      </c>
      <c r="F110" s="38">
        <v>74873</v>
      </c>
      <c r="G110" s="33">
        <v>275</v>
      </c>
      <c r="H110" s="22"/>
      <c r="I110" s="22">
        <v>523</v>
      </c>
      <c r="J110" s="517">
        <v>798</v>
      </c>
      <c r="K110" s="28"/>
      <c r="L110" s="28"/>
      <c r="M110" s="28"/>
      <c r="N110" s="28"/>
      <c r="O110" s="28"/>
      <c r="P110" s="28"/>
      <c r="Q110" s="28"/>
      <c r="R110" s="28"/>
      <c r="S110" s="13"/>
      <c r="T110" s="13"/>
      <c r="W110" s="11"/>
      <c r="X110" s="11"/>
      <c r="Y110" s="376"/>
      <c r="Z110" s="11"/>
      <c r="AA110" s="11"/>
      <c r="AB110" s="102"/>
      <c r="AC110" s="11"/>
      <c r="AD110" s="259"/>
      <c r="AE110" s="104"/>
      <c r="AF110" s="9"/>
      <c r="AG110" s="9"/>
      <c r="AJ110" s="11"/>
      <c r="AK110" s="9"/>
    </row>
    <row r="111" spans="1:37" s="455" customFormat="1" x14ac:dyDescent="0.25">
      <c r="A111" s="359">
        <f t="shared" si="12"/>
        <v>1</v>
      </c>
      <c r="B111" s="217">
        <v>43040</v>
      </c>
      <c r="C111" s="33">
        <v>50032</v>
      </c>
      <c r="D111" s="22"/>
      <c r="E111" s="22">
        <v>25301</v>
      </c>
      <c r="F111" s="38">
        <v>75333</v>
      </c>
      <c r="G111" s="33">
        <v>277</v>
      </c>
      <c r="H111" s="22"/>
      <c r="I111" s="22">
        <v>565</v>
      </c>
      <c r="J111" s="517">
        <v>842</v>
      </c>
      <c r="K111" s="28"/>
      <c r="L111" s="28"/>
      <c r="M111" s="28"/>
      <c r="N111" s="28"/>
      <c r="O111" s="28"/>
      <c r="P111" s="28"/>
      <c r="Q111" s="28"/>
      <c r="R111" s="28"/>
      <c r="S111" s="13"/>
      <c r="T111" s="13"/>
      <c r="W111" s="11"/>
      <c r="X111" s="11"/>
      <c r="Y111" s="376"/>
      <c r="Z111" s="11"/>
      <c r="AA111" s="11"/>
      <c r="AB111" s="102"/>
      <c r="AC111" s="11"/>
      <c r="AD111" s="259"/>
      <c r="AE111" s="104"/>
      <c r="AF111" s="9"/>
      <c r="AG111" s="9"/>
      <c r="AJ111" s="11"/>
      <c r="AK111" s="9"/>
    </row>
    <row r="112" spans="1:37" s="455" customFormat="1" x14ac:dyDescent="0.25">
      <c r="A112" s="359">
        <f t="shared" si="12"/>
        <v>1</v>
      </c>
      <c r="B112" s="217">
        <v>43070</v>
      </c>
      <c r="C112" s="33">
        <v>50276</v>
      </c>
      <c r="D112" s="22"/>
      <c r="E112" s="22">
        <v>24999</v>
      </c>
      <c r="F112" s="38">
        <v>75275</v>
      </c>
      <c r="G112" s="33">
        <v>294</v>
      </c>
      <c r="H112" s="22"/>
      <c r="I112" s="22">
        <v>568</v>
      </c>
      <c r="J112" s="517">
        <v>862</v>
      </c>
      <c r="K112" s="28"/>
      <c r="L112" s="28"/>
      <c r="M112" s="28"/>
      <c r="N112" s="28"/>
      <c r="O112" s="28"/>
      <c r="P112" s="28"/>
      <c r="Q112" s="28"/>
      <c r="R112" s="28"/>
      <c r="S112" s="13"/>
      <c r="T112" s="13"/>
      <c r="W112" s="11"/>
      <c r="X112" s="11"/>
      <c r="Y112" s="376"/>
      <c r="Z112" s="11"/>
      <c r="AA112" s="11"/>
      <c r="AB112" s="102"/>
      <c r="AC112" s="11"/>
      <c r="AD112" s="259"/>
      <c r="AE112" s="104"/>
      <c r="AF112" s="9"/>
      <c r="AG112" s="9"/>
      <c r="AJ112" s="11"/>
      <c r="AK112" s="9"/>
    </row>
    <row r="113" spans="1:37" s="455" customFormat="1" x14ac:dyDescent="0.25">
      <c r="A113" s="359">
        <f t="shared" si="12"/>
        <v>1</v>
      </c>
      <c r="B113" s="217">
        <v>43101</v>
      </c>
      <c r="C113" s="33">
        <v>50891</v>
      </c>
      <c r="D113" s="22"/>
      <c r="E113" s="22">
        <v>25260</v>
      </c>
      <c r="F113" s="38">
        <v>76151</v>
      </c>
      <c r="G113" s="33">
        <v>294</v>
      </c>
      <c r="H113" s="22"/>
      <c r="I113" s="22">
        <v>575</v>
      </c>
      <c r="J113" s="517">
        <v>869</v>
      </c>
      <c r="K113" s="28"/>
      <c r="L113" s="28"/>
      <c r="M113" s="28"/>
      <c r="N113" s="28"/>
      <c r="O113" s="28"/>
      <c r="P113" s="28"/>
      <c r="Q113" s="28"/>
      <c r="R113" s="28"/>
      <c r="S113" s="13"/>
      <c r="T113" s="13"/>
      <c r="W113" s="11"/>
      <c r="X113" s="11"/>
      <c r="Y113" s="376"/>
      <c r="Z113" s="11"/>
      <c r="AA113" s="11"/>
      <c r="AB113" s="102"/>
      <c r="AC113" s="11"/>
      <c r="AD113" s="259"/>
      <c r="AE113" s="104"/>
      <c r="AF113" s="9"/>
      <c r="AG113" s="9"/>
      <c r="AJ113" s="11"/>
      <c r="AK113" s="9"/>
    </row>
    <row r="114" spans="1:37" s="455" customFormat="1" x14ac:dyDescent="0.25">
      <c r="A114" s="359">
        <f t="shared" si="12"/>
        <v>1</v>
      </c>
      <c r="B114" s="217">
        <v>43132</v>
      </c>
      <c r="C114" s="33">
        <v>54854</v>
      </c>
      <c r="D114" s="22"/>
      <c r="E114" s="22">
        <v>27049</v>
      </c>
      <c r="F114" s="38">
        <v>81903</v>
      </c>
      <c r="G114" s="33">
        <v>302</v>
      </c>
      <c r="H114" s="22"/>
      <c r="I114" s="22">
        <v>564</v>
      </c>
      <c r="J114" s="517">
        <v>866</v>
      </c>
      <c r="K114" s="28"/>
      <c r="L114" s="28"/>
      <c r="M114" s="28"/>
      <c r="N114" s="28"/>
      <c r="O114" s="28"/>
      <c r="P114" s="28"/>
      <c r="Q114" s="28"/>
      <c r="R114" s="28"/>
      <c r="S114" s="13"/>
      <c r="T114" s="13"/>
      <c r="W114" s="11"/>
      <c r="X114" s="11"/>
      <c r="Y114" s="376"/>
      <c r="Z114" s="11"/>
      <c r="AA114" s="11"/>
      <c r="AB114" s="102"/>
      <c r="AC114" s="11"/>
      <c r="AD114" s="259"/>
      <c r="AE114" s="104"/>
      <c r="AF114" s="9"/>
      <c r="AG114" s="9"/>
      <c r="AJ114" s="11"/>
      <c r="AK114" s="9"/>
    </row>
    <row r="115" spans="1:37" s="455" customFormat="1" x14ac:dyDescent="0.25">
      <c r="A115" s="359">
        <f t="shared" si="12"/>
        <v>1</v>
      </c>
      <c r="B115" s="217">
        <v>43160</v>
      </c>
      <c r="C115" s="33">
        <v>56287</v>
      </c>
      <c r="D115" s="22"/>
      <c r="E115" s="22">
        <v>27694</v>
      </c>
      <c r="F115" s="38">
        <v>83981</v>
      </c>
      <c r="G115" s="33">
        <v>311</v>
      </c>
      <c r="H115" s="22"/>
      <c r="I115" s="22">
        <v>554</v>
      </c>
      <c r="J115" s="517">
        <v>865</v>
      </c>
      <c r="K115" s="28"/>
      <c r="L115" s="28"/>
      <c r="M115" s="28"/>
      <c r="N115" s="28"/>
      <c r="O115" s="28"/>
      <c r="P115" s="28"/>
      <c r="Q115" s="28"/>
      <c r="R115" s="28"/>
      <c r="S115" s="13"/>
      <c r="T115" s="13"/>
      <c r="W115" s="11"/>
      <c r="X115" s="11"/>
      <c r="Y115" s="376"/>
      <c r="Z115" s="11"/>
      <c r="AA115" s="11"/>
      <c r="AB115" s="102"/>
      <c r="AC115" s="11"/>
      <c r="AD115" s="259"/>
      <c r="AE115" s="104"/>
      <c r="AF115" s="9"/>
      <c r="AG115" s="9"/>
      <c r="AJ115" s="11"/>
      <c r="AK115" s="9"/>
    </row>
    <row r="116" spans="1:37" s="455" customFormat="1" x14ac:dyDescent="0.25">
      <c r="A116" s="359">
        <f t="shared" si="12"/>
        <v>1</v>
      </c>
      <c r="B116" s="217">
        <v>43191</v>
      </c>
      <c r="C116" s="33">
        <v>60590</v>
      </c>
      <c r="D116" s="22"/>
      <c r="E116" s="22">
        <v>29115</v>
      </c>
      <c r="F116" s="38">
        <v>89705</v>
      </c>
      <c r="G116" s="33">
        <v>325</v>
      </c>
      <c r="H116" s="22"/>
      <c r="I116" s="22">
        <v>534</v>
      </c>
      <c r="J116" s="517">
        <v>859</v>
      </c>
      <c r="K116" s="28"/>
      <c r="L116" s="28"/>
      <c r="M116" s="28"/>
      <c r="N116" s="28"/>
      <c r="O116" s="28"/>
      <c r="P116" s="28"/>
      <c r="Q116" s="28"/>
      <c r="R116" s="28"/>
      <c r="S116" s="13"/>
      <c r="T116" s="13"/>
      <c r="W116" s="11"/>
      <c r="X116" s="11"/>
      <c r="Y116" s="376"/>
      <c r="Z116" s="11"/>
      <c r="AA116" s="11"/>
      <c r="AB116" s="102"/>
      <c r="AC116" s="11"/>
      <c r="AD116" s="259"/>
      <c r="AE116" s="104"/>
      <c r="AF116" s="9"/>
      <c r="AG116" s="9"/>
      <c r="AJ116" s="11"/>
      <c r="AK116" s="9"/>
    </row>
    <row r="117" spans="1:37" s="455" customFormat="1" x14ac:dyDescent="0.25">
      <c r="A117" s="359">
        <f t="shared" si="12"/>
        <v>0</v>
      </c>
      <c r="B117" s="217">
        <v>43221</v>
      </c>
      <c r="C117" s="33"/>
      <c r="D117" s="22"/>
      <c r="E117" s="22"/>
      <c r="F117" s="38"/>
      <c r="G117" s="33"/>
      <c r="H117" s="22"/>
      <c r="I117" s="22"/>
      <c r="J117" s="517"/>
      <c r="K117" s="28"/>
      <c r="L117" s="28"/>
      <c r="M117" s="28"/>
      <c r="N117" s="28"/>
      <c r="O117" s="28"/>
      <c r="P117" s="28"/>
      <c r="Q117" s="28"/>
      <c r="R117" s="28"/>
      <c r="S117" s="13"/>
      <c r="T117" s="13"/>
      <c r="W117" s="11"/>
      <c r="X117" s="11"/>
      <c r="Y117" s="376"/>
      <c r="Z117" s="11"/>
      <c r="AA117" s="11"/>
      <c r="AB117" s="102"/>
      <c r="AC117" s="11"/>
      <c r="AD117" s="259"/>
      <c r="AE117" s="104"/>
      <c r="AF117" s="9"/>
      <c r="AG117" s="9"/>
      <c r="AJ117" s="11"/>
      <c r="AK117" s="9"/>
    </row>
    <row r="118" spans="1:37" s="455" customFormat="1" x14ac:dyDescent="0.25">
      <c r="A118" s="359">
        <f t="shared" si="12"/>
        <v>0</v>
      </c>
      <c r="B118" s="217">
        <v>43252</v>
      </c>
      <c r="C118" s="33"/>
      <c r="D118" s="22"/>
      <c r="E118" s="22"/>
      <c r="F118" s="38"/>
      <c r="G118" s="33"/>
      <c r="H118" s="22"/>
      <c r="I118" s="22"/>
      <c r="J118" s="517"/>
      <c r="K118" s="28"/>
      <c r="L118" s="28"/>
      <c r="M118" s="28"/>
      <c r="N118" s="28"/>
      <c r="O118" s="28"/>
      <c r="P118" s="28"/>
      <c r="Q118" s="28"/>
      <c r="R118" s="28"/>
      <c r="S118" s="13"/>
      <c r="T118" s="13"/>
      <c r="W118" s="11"/>
      <c r="X118" s="11"/>
      <c r="Y118" s="376"/>
      <c r="Z118" s="11"/>
      <c r="AA118" s="11"/>
      <c r="AB118" s="102"/>
      <c r="AC118" s="11"/>
      <c r="AD118" s="259"/>
      <c r="AE118" s="104"/>
      <c r="AF118" s="9"/>
      <c r="AG118" s="9"/>
      <c r="AJ118" s="11"/>
      <c r="AK118" s="9"/>
    </row>
    <row r="119" spans="1:37" s="371" customFormat="1" x14ac:dyDescent="0.25">
      <c r="A119" s="359">
        <f t="shared" si="12"/>
        <v>0</v>
      </c>
      <c r="B119" s="217"/>
      <c r="C119" s="33"/>
      <c r="D119" s="22"/>
      <c r="E119" s="22"/>
      <c r="F119" s="38"/>
      <c r="G119" s="33"/>
      <c r="H119" s="22"/>
      <c r="I119" s="22"/>
      <c r="J119" s="517"/>
      <c r="K119" s="28"/>
      <c r="L119" s="28"/>
      <c r="M119" s="28"/>
      <c r="N119" s="28"/>
      <c r="O119" s="28"/>
      <c r="P119" s="28"/>
      <c r="Q119" s="28"/>
      <c r="R119" s="28"/>
      <c r="S119" s="13"/>
      <c r="T119" s="13"/>
      <c r="W119" s="11"/>
      <c r="X119" s="11"/>
      <c r="Y119" s="376"/>
      <c r="Z119" s="11"/>
      <c r="AA119" s="11"/>
      <c r="AB119" s="102"/>
      <c r="AC119" s="11"/>
      <c r="AD119" s="259"/>
      <c r="AE119" s="104"/>
      <c r="AF119" s="9"/>
      <c r="AG119" s="9"/>
      <c r="AJ119" s="11"/>
      <c r="AK119" s="9"/>
    </row>
    <row r="120" spans="1:37" x14ac:dyDescent="0.25">
      <c r="B120" s="225" t="s">
        <v>361</v>
      </c>
      <c r="C120" s="31">
        <v>52351.9</v>
      </c>
      <c r="D120" s="32" t="e">
        <v>#DIV/0!</v>
      </c>
      <c r="E120" s="32">
        <v>25801</v>
      </c>
      <c r="F120" s="47">
        <v>78152.899999999994</v>
      </c>
      <c r="G120" s="31">
        <v>290.89999999999998</v>
      </c>
      <c r="H120" s="32" t="e">
        <v>#DIV/0!</v>
      </c>
      <c r="I120" s="32">
        <v>540.70000000000005</v>
      </c>
      <c r="J120" s="518">
        <v>831.6</v>
      </c>
      <c r="K120" s="32"/>
      <c r="L120" s="32"/>
      <c r="M120" s="32"/>
      <c r="N120" s="32"/>
      <c r="O120" s="32"/>
      <c r="P120" s="32"/>
      <c r="Q120" s="32"/>
      <c r="R120" s="32"/>
      <c r="AB120" s="102"/>
      <c r="AD120" s="28"/>
      <c r="AE120" s="104"/>
      <c r="AF120" s="9"/>
      <c r="AG120" s="9"/>
      <c r="AH120" s="11"/>
      <c r="AI120" s="11"/>
      <c r="AK120" s="9"/>
    </row>
    <row r="121" spans="1:37" s="145" customFormat="1" ht="15.75" customHeight="1" x14ac:dyDescent="0.25">
      <c r="B121" s="225" t="s">
        <v>362</v>
      </c>
      <c r="C121" s="33">
        <v>48307</v>
      </c>
      <c r="D121" s="22"/>
      <c r="E121" s="22">
        <v>24295</v>
      </c>
      <c r="F121" s="38">
        <v>72602</v>
      </c>
      <c r="G121" s="33">
        <v>284</v>
      </c>
      <c r="H121" s="22"/>
      <c r="I121" s="22">
        <v>486</v>
      </c>
      <c r="J121" s="517">
        <v>770</v>
      </c>
      <c r="K121" s="32"/>
      <c r="L121" s="32"/>
      <c r="M121" s="32"/>
      <c r="N121" s="32"/>
      <c r="O121" s="32"/>
      <c r="P121" s="32"/>
      <c r="Q121" s="32"/>
      <c r="R121" s="32"/>
      <c r="AB121" s="146"/>
      <c r="AD121" s="22"/>
      <c r="AE121" s="147"/>
      <c r="AF121" s="148"/>
      <c r="AG121" s="148"/>
      <c r="AH121" s="149"/>
      <c r="AI121" s="149"/>
      <c r="AK121" s="148"/>
    </row>
    <row r="122" spans="1:37" x14ac:dyDescent="0.25">
      <c r="B122" s="227" t="s">
        <v>18</v>
      </c>
      <c r="C122" s="33">
        <v>4303</v>
      </c>
      <c r="D122" s="22">
        <v>0</v>
      </c>
      <c r="E122" s="22">
        <v>1421</v>
      </c>
      <c r="F122" s="38">
        <v>5724</v>
      </c>
      <c r="G122" s="33">
        <v>14</v>
      </c>
      <c r="H122" s="22">
        <v>0</v>
      </c>
      <c r="I122" s="22">
        <v>-20</v>
      </c>
      <c r="J122" s="517">
        <v>-6</v>
      </c>
      <c r="K122" s="22"/>
      <c r="L122" s="22"/>
      <c r="M122" s="22"/>
      <c r="N122" s="22"/>
      <c r="O122" s="22"/>
      <c r="P122" s="22"/>
      <c r="Q122" s="22"/>
      <c r="R122" s="22"/>
      <c r="AB122" s="102"/>
      <c r="AD122" s="28"/>
      <c r="AE122" s="104"/>
      <c r="AF122" s="9"/>
      <c r="AG122" s="9"/>
      <c r="AH122" s="11"/>
      <c r="AI122" s="11"/>
      <c r="AK122" s="9"/>
    </row>
    <row r="123" spans="1:37" x14ac:dyDescent="0.25">
      <c r="B123" s="227" t="s">
        <v>21</v>
      </c>
      <c r="C123" s="48">
        <v>7.6447492316165364E-2</v>
      </c>
      <c r="D123" s="23" t="e">
        <v>#DIV/0!</v>
      </c>
      <c r="E123" s="23">
        <v>5.1310753231746949E-2</v>
      </c>
      <c r="F123" s="46">
        <v>6.8158273895285837E-2</v>
      </c>
      <c r="G123" s="48">
        <v>4.5016077170418008E-2</v>
      </c>
      <c r="H123" s="23" t="e">
        <v>#DIV/0!</v>
      </c>
      <c r="I123" s="23">
        <v>-3.6101083032490974E-2</v>
      </c>
      <c r="J123" s="519">
        <v>-6.9364161849710983E-3</v>
      </c>
      <c r="K123" s="23"/>
      <c r="L123" s="23"/>
      <c r="M123" s="23"/>
      <c r="N123" s="23"/>
      <c r="O123" s="23"/>
      <c r="P123" s="23"/>
      <c r="Q123" s="23"/>
      <c r="R123" s="23"/>
      <c r="AB123" s="12"/>
    </row>
    <row r="124" spans="1:37" x14ac:dyDescent="0.25">
      <c r="B124" s="227" t="s">
        <v>35</v>
      </c>
      <c r="C124" s="33">
        <v>11570</v>
      </c>
      <c r="D124" s="22">
        <v>0</v>
      </c>
      <c r="E124" s="22">
        <v>5063</v>
      </c>
      <c r="F124" s="38">
        <v>16633</v>
      </c>
      <c r="G124" s="33">
        <v>64</v>
      </c>
      <c r="H124" s="22">
        <v>0</v>
      </c>
      <c r="I124" s="22">
        <v>19</v>
      </c>
      <c r="J124" s="517">
        <v>83</v>
      </c>
      <c r="K124" s="22"/>
      <c r="L124" s="22"/>
      <c r="M124" s="22"/>
      <c r="N124" s="22"/>
      <c r="O124" s="22"/>
      <c r="P124" s="22"/>
      <c r="Q124" s="22"/>
      <c r="R124" s="22"/>
      <c r="AB124" s="12"/>
    </row>
    <row r="125" spans="1:37" ht="16.5" thickBot="1" x14ac:dyDescent="0.3">
      <c r="B125" s="227" t="s">
        <v>36</v>
      </c>
      <c r="C125" s="48">
        <v>0.23602611179110566</v>
      </c>
      <c r="D125" s="23" t="e">
        <v>#DIV/0!</v>
      </c>
      <c r="E125" s="23">
        <v>0.21050224513553967</v>
      </c>
      <c r="F125" s="46">
        <v>0.22762480840814539</v>
      </c>
      <c r="G125" s="48">
        <v>0.24521072796934865</v>
      </c>
      <c r="H125" s="23" t="e">
        <v>#DIV/0!</v>
      </c>
      <c r="I125" s="23">
        <v>3.6893203883495145E-2</v>
      </c>
      <c r="J125" s="519">
        <v>0.10695876288659793</v>
      </c>
      <c r="K125" s="23"/>
      <c r="L125" s="23"/>
      <c r="M125" s="23"/>
      <c r="N125" s="23"/>
      <c r="O125" s="23"/>
      <c r="P125" s="23"/>
      <c r="Q125" s="23"/>
      <c r="R125" s="23"/>
      <c r="AB125" s="12"/>
    </row>
    <row r="126" spans="1:37" x14ac:dyDescent="0.25">
      <c r="B126" s="778" t="s">
        <v>24</v>
      </c>
      <c r="C126" s="779"/>
      <c r="D126" s="779"/>
      <c r="E126" s="779"/>
      <c r="F126" s="779"/>
      <c r="G126" s="779"/>
      <c r="H126" s="779"/>
      <c r="I126" s="779"/>
      <c r="J126" s="780"/>
      <c r="K126" s="150"/>
      <c r="L126" s="151"/>
      <c r="M126" s="150"/>
      <c r="N126" s="150"/>
      <c r="O126" s="150"/>
      <c r="P126" s="150"/>
      <c r="Q126" s="150"/>
      <c r="R126" s="150"/>
      <c r="AB126" s="12"/>
    </row>
    <row r="127" spans="1:37" x14ac:dyDescent="0.25">
      <c r="B127" s="781" t="s">
        <v>37</v>
      </c>
      <c r="C127" s="782"/>
      <c r="D127" s="782"/>
      <c r="E127" s="782"/>
      <c r="F127" s="782"/>
      <c r="G127" s="782"/>
      <c r="H127" s="782"/>
      <c r="I127" s="782"/>
      <c r="J127" s="783"/>
      <c r="K127" s="152"/>
      <c r="L127" s="152"/>
      <c r="M127" s="152"/>
      <c r="N127" s="152"/>
      <c r="O127" s="152"/>
      <c r="P127" s="152"/>
      <c r="Q127" s="152"/>
      <c r="R127" s="152"/>
    </row>
    <row r="128" spans="1:37" s="145" customFormat="1" ht="27.75" hidden="1" customHeight="1" thickBot="1" x14ac:dyDescent="0.3">
      <c r="B128" s="784" t="s">
        <v>321</v>
      </c>
      <c r="C128" s="785"/>
      <c r="D128" s="785"/>
      <c r="E128" s="785"/>
      <c r="F128" s="785"/>
      <c r="G128" s="785"/>
      <c r="H128" s="785"/>
      <c r="I128" s="785"/>
      <c r="J128" s="786"/>
      <c r="K128" s="152"/>
      <c r="L128" s="152"/>
      <c r="M128" s="152"/>
      <c r="N128" s="152"/>
      <c r="O128" s="152"/>
      <c r="P128" s="152"/>
      <c r="Q128" s="152"/>
      <c r="R128" s="152"/>
      <c r="AB128" s="153"/>
    </row>
    <row r="129" spans="2:37" s="11" customFormat="1" ht="39.75" customHeight="1" thickBot="1" x14ac:dyDescent="0.3">
      <c r="B129" s="787" t="s">
        <v>409</v>
      </c>
      <c r="C129" s="788"/>
      <c r="D129" s="788"/>
      <c r="E129" s="788"/>
      <c r="F129" s="788"/>
      <c r="G129" s="788"/>
      <c r="H129" s="788"/>
      <c r="I129" s="788"/>
      <c r="J129" s="789"/>
      <c r="K129" s="152"/>
      <c r="L129" s="152"/>
      <c r="M129" s="152"/>
      <c r="N129" s="152"/>
      <c r="O129" s="152"/>
      <c r="P129" s="152"/>
      <c r="Q129" s="152"/>
      <c r="R129" s="152"/>
      <c r="AB129" s="101"/>
      <c r="AC129" s="12"/>
      <c r="AD129" s="12"/>
      <c r="AE129" s="12"/>
      <c r="AF129" s="12"/>
      <c r="AG129" s="12"/>
      <c r="AH129" s="12"/>
      <c r="AI129" s="12"/>
      <c r="AJ129" s="12"/>
      <c r="AK129" s="12"/>
    </row>
    <row r="130" spans="2:37" s="11" customFormat="1" x14ac:dyDescent="0.25">
      <c r="B130" s="386"/>
      <c r="C130" s="386"/>
      <c r="D130" s="386"/>
      <c r="E130" s="386"/>
      <c r="F130" s="386"/>
      <c r="G130" s="386"/>
      <c r="H130" s="386"/>
      <c r="I130" s="386"/>
      <c r="J130" s="386"/>
      <c r="K130" s="152"/>
      <c r="L130" s="152"/>
      <c r="M130" s="152"/>
      <c r="N130" s="152"/>
      <c r="O130" s="152"/>
      <c r="P130" s="152"/>
      <c r="Q130" s="152"/>
      <c r="R130" s="152"/>
      <c r="AB130" s="101"/>
      <c r="AC130" s="385"/>
      <c r="AD130" s="385"/>
      <c r="AE130" s="385"/>
      <c r="AF130" s="385"/>
      <c r="AG130" s="385"/>
      <c r="AH130" s="385"/>
      <c r="AI130" s="385"/>
      <c r="AJ130" s="385"/>
      <c r="AK130" s="385"/>
    </row>
    <row r="131" spans="2:37" s="11" customFormat="1" x14ac:dyDescent="0.25">
      <c r="B131" s="152"/>
      <c r="C131" s="152"/>
      <c r="D131" s="152"/>
      <c r="E131" s="154"/>
      <c r="F131" s="154"/>
      <c r="G131" s="152"/>
      <c r="H131" s="152"/>
      <c r="I131" s="152"/>
      <c r="J131" s="152"/>
      <c r="K131" s="152"/>
      <c r="L131" s="152"/>
      <c r="M131" s="152"/>
      <c r="N131" s="152"/>
      <c r="O131" s="152"/>
      <c r="P131" s="152"/>
      <c r="Q131" s="152"/>
      <c r="R131" s="152"/>
      <c r="AB131" s="101"/>
      <c r="AC131" s="12"/>
      <c r="AH131" s="12"/>
      <c r="AI131" s="12"/>
      <c r="AJ131" s="12"/>
    </row>
    <row r="132" spans="2:37" s="11" customFormat="1" x14ac:dyDescent="0.25">
      <c r="B132" s="152"/>
      <c r="C132" s="152"/>
      <c r="D132" s="152"/>
      <c r="E132" s="152"/>
      <c r="F132" s="154"/>
      <c r="G132" s="155"/>
      <c r="H132" s="152"/>
      <c r="I132" s="152"/>
      <c r="J132" s="152"/>
      <c r="K132" s="152"/>
      <c r="L132" s="152"/>
      <c r="M132" s="152"/>
      <c r="N132" s="152"/>
      <c r="O132" s="152"/>
      <c r="P132" s="152"/>
      <c r="Q132" s="152"/>
      <c r="R132" s="152"/>
      <c r="AB132" s="101"/>
      <c r="AC132" s="12"/>
      <c r="AH132" s="12"/>
      <c r="AI132" s="12"/>
      <c r="AJ132" s="12"/>
    </row>
    <row r="133" spans="2:37" x14ac:dyDescent="0.25">
      <c r="B133" s="152"/>
      <c r="C133" s="152"/>
      <c r="D133" s="152"/>
      <c r="E133" s="152"/>
      <c r="F133" s="152"/>
      <c r="G133" s="152"/>
      <c r="H133" s="152"/>
      <c r="I133" s="152"/>
      <c r="J133" s="152"/>
      <c r="K133" s="13"/>
      <c r="L133" s="13"/>
      <c r="M133" s="13"/>
      <c r="N133" s="13"/>
      <c r="O133" s="13"/>
      <c r="P133" s="13"/>
      <c r="Q133" s="13"/>
      <c r="R133" s="13"/>
      <c r="S133" s="13"/>
      <c r="T133" s="13"/>
      <c r="U133" s="13"/>
      <c r="V133" s="13"/>
      <c r="W133" s="13"/>
      <c r="X133" s="13"/>
      <c r="AD133" s="11"/>
      <c r="AE133" s="11"/>
      <c r="AF133" s="11"/>
      <c r="AG133" s="11"/>
      <c r="AK133" s="11"/>
    </row>
    <row r="134" spans="2:37" x14ac:dyDescent="0.25">
      <c r="B134" s="126"/>
      <c r="C134" s="13"/>
      <c r="D134" s="13"/>
      <c r="E134" s="13"/>
      <c r="F134" s="13"/>
      <c r="G134" s="13"/>
      <c r="H134" s="13"/>
      <c r="I134" s="13"/>
      <c r="J134" s="13"/>
      <c r="K134" s="13"/>
      <c r="L134" s="13"/>
      <c r="M134" s="13"/>
      <c r="N134" s="13"/>
      <c r="O134" s="13"/>
      <c r="P134" s="13"/>
      <c r="Q134" s="13"/>
      <c r="R134" s="13"/>
      <c r="S134" s="13"/>
      <c r="T134" s="13"/>
      <c r="U134" s="13"/>
      <c r="V134" s="13"/>
      <c r="W134" s="13"/>
      <c r="X134" s="13"/>
    </row>
    <row r="135" spans="2:37" x14ac:dyDescent="0.25">
      <c r="B135" s="126"/>
      <c r="C135" s="13"/>
      <c r="D135" s="13"/>
      <c r="E135" s="13"/>
      <c r="F135" s="13"/>
      <c r="G135" s="13"/>
      <c r="H135" s="13"/>
      <c r="I135" s="13"/>
      <c r="J135" s="13"/>
    </row>
    <row r="138" spans="2:37" x14ac:dyDescent="0.25">
      <c r="C138" s="13"/>
      <c r="D138" s="13"/>
      <c r="E138" s="13"/>
      <c r="F138" s="13"/>
      <c r="G138" s="13"/>
      <c r="H138" s="13"/>
      <c r="I138" s="13"/>
      <c r="J138" s="13"/>
    </row>
    <row r="141" spans="2:37" x14ac:dyDescent="0.25">
      <c r="K141" s="13"/>
      <c r="L141" s="13"/>
      <c r="M141" s="13"/>
      <c r="N141" s="13"/>
      <c r="O141" s="13"/>
      <c r="P141" s="13"/>
      <c r="Q141" s="13"/>
      <c r="R141" s="13"/>
      <c r="S141" s="96"/>
      <c r="T141" s="96"/>
      <c r="U141" s="96"/>
      <c r="V141" s="96"/>
      <c r="W141" s="96"/>
      <c r="X141" s="96"/>
      <c r="Z141" s="13"/>
      <c r="AA141" s="96"/>
    </row>
    <row r="142" spans="2:37" x14ac:dyDescent="0.25">
      <c r="F142" s="13"/>
      <c r="G142" s="96"/>
      <c r="J142" s="13"/>
      <c r="K142" s="13"/>
      <c r="L142" s="13"/>
      <c r="M142" s="13"/>
      <c r="N142" s="13"/>
      <c r="O142" s="13"/>
      <c r="P142" s="13"/>
      <c r="Q142" s="13"/>
      <c r="R142" s="13"/>
      <c r="S142" s="96"/>
      <c r="T142" s="96"/>
      <c r="U142" s="96"/>
      <c r="V142" s="96"/>
      <c r="W142" s="96"/>
      <c r="X142" s="96"/>
      <c r="Z142" s="13"/>
      <c r="AA142" s="96"/>
    </row>
    <row r="143" spans="2:37" x14ac:dyDescent="0.25">
      <c r="F143" s="13"/>
      <c r="G143" s="96"/>
      <c r="J143" s="13"/>
      <c r="K143" s="13"/>
      <c r="L143" s="13"/>
      <c r="M143" s="13"/>
      <c r="N143" s="13"/>
      <c r="O143" s="13"/>
      <c r="P143" s="13"/>
      <c r="Q143" s="13"/>
      <c r="R143" s="13"/>
      <c r="S143" s="96"/>
      <c r="T143" s="96"/>
      <c r="U143" s="96"/>
      <c r="V143" s="96"/>
      <c r="W143" s="96"/>
      <c r="X143" s="96"/>
      <c r="Z143" s="13"/>
      <c r="AA143" s="96"/>
    </row>
    <row r="144" spans="2:37" x14ac:dyDescent="0.25">
      <c r="F144" s="13"/>
      <c r="G144" s="96"/>
      <c r="J144" s="13"/>
      <c r="K144" s="13"/>
      <c r="L144" s="13"/>
      <c r="M144" s="13"/>
      <c r="N144" s="13"/>
      <c r="O144" s="13"/>
      <c r="P144" s="13"/>
      <c r="Q144" s="13"/>
      <c r="R144" s="13"/>
      <c r="S144" s="96"/>
      <c r="T144" s="96"/>
      <c r="U144" s="96"/>
      <c r="V144" s="96"/>
      <c r="W144" s="96"/>
      <c r="X144" s="96"/>
      <c r="Z144" s="13"/>
      <c r="AA144" s="96"/>
    </row>
    <row r="145" spans="6:27" x14ac:dyDescent="0.25">
      <c r="F145" s="13"/>
      <c r="G145" s="96"/>
      <c r="J145" s="13"/>
      <c r="K145" s="13"/>
      <c r="L145" s="13"/>
      <c r="M145" s="13"/>
      <c r="N145" s="13"/>
      <c r="O145" s="13"/>
      <c r="P145" s="13"/>
      <c r="Q145" s="13"/>
      <c r="R145" s="13"/>
      <c r="S145" s="96"/>
      <c r="T145" s="96"/>
      <c r="U145" s="96"/>
      <c r="V145" s="96"/>
      <c r="W145" s="96"/>
      <c r="X145" s="96"/>
      <c r="Z145" s="13"/>
      <c r="AA145" s="96"/>
    </row>
    <row r="146" spans="6:27" x14ac:dyDescent="0.25">
      <c r="F146" s="13"/>
      <c r="G146" s="96"/>
      <c r="J146" s="13"/>
      <c r="K146" s="13"/>
      <c r="L146" s="13"/>
      <c r="M146" s="13"/>
      <c r="N146" s="13"/>
      <c r="O146" s="13"/>
      <c r="P146" s="13"/>
      <c r="Q146" s="13"/>
      <c r="R146" s="13"/>
      <c r="S146" s="96"/>
      <c r="T146" s="96"/>
      <c r="U146" s="96"/>
      <c r="V146" s="96"/>
      <c r="W146" s="96"/>
      <c r="X146" s="96"/>
      <c r="Z146" s="13"/>
      <c r="AA146" s="96"/>
    </row>
    <row r="147" spans="6:27" x14ac:dyDescent="0.25">
      <c r="F147" s="13"/>
      <c r="G147" s="96"/>
      <c r="J147" s="13"/>
      <c r="K147" s="13"/>
      <c r="L147" s="13"/>
      <c r="M147" s="13"/>
      <c r="N147" s="13"/>
      <c r="O147" s="13"/>
      <c r="P147" s="13"/>
      <c r="Q147" s="13"/>
      <c r="R147" s="13"/>
      <c r="S147" s="96"/>
      <c r="T147" s="96"/>
      <c r="U147" s="96"/>
      <c r="V147" s="96"/>
      <c r="W147" s="96"/>
      <c r="X147" s="96"/>
      <c r="Z147" s="13"/>
      <c r="AA147" s="96"/>
    </row>
    <row r="148" spans="6:27" x14ac:dyDescent="0.25">
      <c r="F148" s="13"/>
      <c r="G148" s="96"/>
      <c r="J148" s="13"/>
      <c r="K148" s="13"/>
      <c r="L148" s="13"/>
      <c r="M148" s="13"/>
      <c r="N148" s="13"/>
      <c r="O148" s="13"/>
      <c r="P148" s="13"/>
      <c r="Q148" s="13"/>
      <c r="R148" s="13"/>
      <c r="S148" s="96"/>
      <c r="T148" s="96"/>
      <c r="U148" s="96"/>
      <c r="V148" s="96"/>
      <c r="W148" s="96"/>
      <c r="X148" s="96"/>
      <c r="Z148" s="13"/>
      <c r="AA148" s="96"/>
    </row>
    <row r="149" spans="6:27" x14ac:dyDescent="0.25">
      <c r="F149" s="13"/>
      <c r="G149" s="96"/>
      <c r="J149" s="13"/>
      <c r="K149" s="13"/>
      <c r="L149" s="13"/>
      <c r="M149" s="13"/>
      <c r="N149" s="13"/>
      <c r="O149" s="13"/>
      <c r="P149" s="13"/>
      <c r="Q149" s="13"/>
      <c r="R149" s="13"/>
      <c r="S149" s="96"/>
      <c r="T149" s="96"/>
      <c r="U149" s="96"/>
      <c r="V149" s="96"/>
      <c r="W149" s="96"/>
      <c r="X149" s="96"/>
      <c r="Z149" s="13"/>
      <c r="AA149" s="96"/>
    </row>
    <row r="150" spans="6:27" x14ac:dyDescent="0.25">
      <c r="F150" s="13"/>
      <c r="G150" s="96"/>
      <c r="J150" s="13"/>
      <c r="K150" s="13"/>
      <c r="L150" s="13"/>
      <c r="M150" s="13"/>
      <c r="N150" s="13"/>
      <c r="O150" s="13"/>
      <c r="P150" s="13"/>
      <c r="Q150" s="13"/>
      <c r="R150" s="13"/>
      <c r="S150" s="96"/>
      <c r="T150" s="96"/>
      <c r="U150" s="96"/>
      <c r="V150" s="96"/>
      <c r="W150" s="96"/>
      <c r="X150" s="96"/>
      <c r="Z150" s="13"/>
      <c r="AA150" s="96"/>
    </row>
    <row r="151" spans="6:27" x14ac:dyDescent="0.25">
      <c r="F151" s="13"/>
      <c r="G151" s="96"/>
      <c r="J151" s="13"/>
      <c r="K151" s="13"/>
      <c r="L151" s="13"/>
      <c r="M151" s="13"/>
      <c r="N151" s="13"/>
      <c r="O151" s="13"/>
      <c r="P151" s="13"/>
      <c r="Q151" s="13"/>
      <c r="R151" s="13"/>
      <c r="S151" s="96"/>
      <c r="T151" s="96"/>
      <c r="U151" s="96"/>
      <c r="V151" s="96"/>
      <c r="W151" s="96"/>
      <c r="X151" s="96"/>
      <c r="Z151" s="13"/>
      <c r="AA151" s="96"/>
    </row>
    <row r="152" spans="6:27" x14ac:dyDescent="0.25">
      <c r="F152" s="13"/>
      <c r="G152" s="96"/>
      <c r="J152" s="13"/>
      <c r="K152" s="13"/>
      <c r="L152" s="13"/>
      <c r="M152" s="13"/>
      <c r="N152" s="13"/>
      <c r="O152" s="13"/>
      <c r="P152" s="13"/>
      <c r="Q152" s="13"/>
      <c r="R152" s="13"/>
      <c r="S152" s="96"/>
      <c r="T152" s="96"/>
      <c r="U152" s="96"/>
      <c r="V152" s="96"/>
      <c r="W152" s="96"/>
      <c r="X152" s="96"/>
      <c r="Z152" s="13"/>
      <c r="AA152" s="96"/>
    </row>
    <row r="153" spans="6:27" x14ac:dyDescent="0.25">
      <c r="F153" s="13"/>
      <c r="G153" s="96"/>
      <c r="J153" s="13"/>
    </row>
  </sheetData>
  <dataConsolidate/>
  <mergeCells count="11">
    <mergeCell ref="Z60:AA60"/>
    <mergeCell ref="W60:X60"/>
    <mergeCell ref="AB60:AC60"/>
    <mergeCell ref="AE60:AF60"/>
    <mergeCell ref="W59:AA59"/>
    <mergeCell ref="AB59:AF59"/>
    <mergeCell ref="B1:J1"/>
    <mergeCell ref="B126:J126"/>
    <mergeCell ref="B127:J127"/>
    <mergeCell ref="B128:J128"/>
    <mergeCell ref="B129:J129"/>
  </mergeCells>
  <phoneticPr fontId="20" type="noConversion"/>
  <conditionalFormatting sqref="Y61:Y119 AD61:AD119">
    <cfRule type="containsText" dxfId="2" priority="1" operator="containsText" text="TRUE">
      <formula>NOT(ISERROR(SEARCH("TRUE",Y61)))</formula>
    </cfRule>
  </conditionalFormatting>
  <hyperlinks>
    <hyperlink ref="AT35" r:id="rId1" display="http://www.google.com/url?sa=t&amp;rct=j&amp;q=&amp;esrc=s&amp;source=web&amp;cd=6&amp;cts=1331079773554&amp;ved=0CGYQFjAF&amp;url=http%3A%2F%2Fwww.dba-oracle.com%2Ft_alter_table_add_column_syntax_example.htm&amp;ei=wKlWT9-IEMuKsAKAtv3PCQ&amp;usg=AFQjCNE4nYVnaI7_X06-dHHNFQ2ckkrSHw&amp;sig2=ydEiO1bFJw72UV_Bc2TdCw" xr:uid="{00000000-0004-0000-0F00-000000000000}"/>
  </hyperlinks>
  <printOptions horizontalCentered="1" gridLines="1"/>
  <pageMargins left="0.28999999999999998" right="0.28999999999999998" top="0.7" bottom="0.43" header="0.3" footer="0.27"/>
  <pageSetup scale="60" firstPageNumber="7" orientation="landscape" r:id="rId2"/>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AB59"/>
  <sheetViews>
    <sheetView view="pageBreakPreview" zoomScale="80" zoomScaleNormal="100" zoomScaleSheetLayoutView="80" workbookViewId="0">
      <selection activeCell="C42" sqref="C42"/>
    </sheetView>
  </sheetViews>
  <sheetFormatPr defaultColWidth="9.140625" defaultRowHeight="15.75" x14ac:dyDescent="0.2"/>
  <cols>
    <col min="1" max="1" width="8.85546875" style="535" customWidth="1"/>
    <col min="2" max="2" width="46.5703125" style="194" customWidth="1"/>
    <col min="3" max="14" width="17" style="535" customWidth="1"/>
    <col min="15" max="16" width="14.42578125" style="535" bestFit="1" customWidth="1"/>
    <col min="17" max="17" width="23.7109375" style="535" bestFit="1" customWidth="1"/>
    <col min="18" max="18" width="9.140625" style="535"/>
    <col min="19" max="19" width="14.42578125" style="535" bestFit="1" customWidth="1"/>
    <col min="20" max="21" width="14.42578125" style="535" customWidth="1"/>
    <col min="22" max="22" width="14.42578125" style="535" bestFit="1" customWidth="1"/>
    <col min="23" max="23" width="14.42578125" style="535" customWidth="1"/>
    <col min="24" max="24" width="12.7109375" style="535" bestFit="1" customWidth="1"/>
    <col min="25" max="25" width="9.140625" style="535"/>
    <col min="26" max="26" width="12.85546875" style="535" bestFit="1" customWidth="1"/>
    <col min="27" max="27" width="13.28515625" style="535" bestFit="1" customWidth="1"/>
    <col min="28" max="16384" width="9.140625" style="535"/>
  </cols>
  <sheetData>
    <row r="1" spans="1:27" ht="16.5" thickBot="1" x14ac:dyDescent="0.25">
      <c r="A1" s="813" t="s">
        <v>365</v>
      </c>
      <c r="B1" s="814"/>
      <c r="C1" s="814"/>
      <c r="D1" s="814"/>
      <c r="E1" s="814"/>
      <c r="F1" s="814"/>
      <c r="G1" s="814"/>
      <c r="H1" s="814"/>
      <c r="I1" s="814"/>
      <c r="J1" s="814"/>
      <c r="K1" s="814"/>
      <c r="L1" s="814"/>
      <c r="M1" s="814"/>
      <c r="N1" s="814"/>
      <c r="O1" s="814"/>
      <c r="P1" s="814"/>
      <c r="Q1" s="815"/>
    </row>
    <row r="2" spans="1:27" ht="32.25" customHeight="1" thickBot="1" x14ac:dyDescent="0.25">
      <c r="A2" s="490"/>
      <c r="B2" s="491" t="s">
        <v>279</v>
      </c>
      <c r="C2" s="492">
        <v>42917</v>
      </c>
      <c r="D2" s="492">
        <v>42948</v>
      </c>
      <c r="E2" s="492">
        <v>42979</v>
      </c>
      <c r="F2" s="492">
        <v>43009</v>
      </c>
      <c r="G2" s="492">
        <v>43040</v>
      </c>
      <c r="H2" s="492">
        <v>43070</v>
      </c>
      <c r="I2" s="492">
        <v>43101</v>
      </c>
      <c r="J2" s="492">
        <v>43132</v>
      </c>
      <c r="K2" s="492">
        <v>43160</v>
      </c>
      <c r="L2" s="492">
        <v>43191</v>
      </c>
      <c r="M2" s="492">
        <v>43221</v>
      </c>
      <c r="N2" s="492">
        <v>43252</v>
      </c>
      <c r="O2" s="493" t="s">
        <v>366</v>
      </c>
      <c r="P2" s="816" t="s">
        <v>367</v>
      </c>
      <c r="Q2" s="817"/>
    </row>
    <row r="3" spans="1:27" ht="15.75" customHeight="1" x14ac:dyDescent="0.25">
      <c r="A3" s="822" t="s">
        <v>183</v>
      </c>
      <c r="B3" s="378" t="s">
        <v>185</v>
      </c>
      <c r="C3" s="623">
        <v>5018</v>
      </c>
      <c r="D3" s="3">
        <v>5056</v>
      </c>
      <c r="E3" s="3">
        <v>5083</v>
      </c>
      <c r="F3" s="3">
        <v>5113</v>
      </c>
      <c r="G3" s="3">
        <v>5128</v>
      </c>
      <c r="H3" s="3">
        <v>5174</v>
      </c>
      <c r="I3" s="3">
        <v>5180</v>
      </c>
      <c r="J3" s="3">
        <v>5194</v>
      </c>
      <c r="K3" s="3">
        <v>5199</v>
      </c>
      <c r="L3" s="3">
        <v>5223</v>
      </c>
      <c r="M3" s="373"/>
      <c r="N3" s="610"/>
      <c r="O3" s="82">
        <v>5136.8</v>
      </c>
      <c r="P3" s="818">
        <v>5587</v>
      </c>
      <c r="Q3" s="819"/>
    </row>
    <row r="4" spans="1:27" ht="31.5" x14ac:dyDescent="0.2">
      <c r="A4" s="823"/>
      <c r="B4" s="197" t="s">
        <v>280</v>
      </c>
      <c r="C4" s="643" t="s">
        <v>387</v>
      </c>
      <c r="D4" s="56" t="s">
        <v>387</v>
      </c>
      <c r="E4" s="56" t="s">
        <v>387</v>
      </c>
      <c r="F4" s="56" t="s">
        <v>387</v>
      </c>
      <c r="G4" s="56" t="s">
        <v>387</v>
      </c>
      <c r="H4" s="56" t="s">
        <v>387</v>
      </c>
      <c r="I4" s="56" t="s">
        <v>387</v>
      </c>
      <c r="J4" s="56" t="s">
        <v>387</v>
      </c>
      <c r="K4" s="56">
        <v>106</v>
      </c>
      <c r="L4" s="56">
        <v>106</v>
      </c>
      <c r="M4" s="3"/>
      <c r="N4" s="67"/>
      <c r="O4" s="632" t="s">
        <v>387</v>
      </c>
      <c r="P4" s="820">
        <v>0</v>
      </c>
      <c r="Q4" s="821"/>
    </row>
    <row r="5" spans="1:27" x14ac:dyDescent="0.25">
      <c r="A5" s="823"/>
      <c r="B5" s="197" t="s">
        <v>162</v>
      </c>
      <c r="C5" s="624">
        <v>4639</v>
      </c>
      <c r="D5" s="3">
        <v>4667</v>
      </c>
      <c r="E5" s="3">
        <v>4674</v>
      </c>
      <c r="F5" s="3">
        <v>4750</v>
      </c>
      <c r="G5" s="3">
        <v>4739</v>
      </c>
      <c r="H5" s="3">
        <v>4764</v>
      </c>
      <c r="I5" s="3">
        <v>4803</v>
      </c>
      <c r="J5" s="3">
        <v>4817</v>
      </c>
      <c r="K5" s="3">
        <v>4832</v>
      </c>
      <c r="L5" s="3">
        <v>4839</v>
      </c>
      <c r="M5" s="3"/>
      <c r="N5" s="610"/>
      <c r="O5" s="82">
        <v>4752.3999999999996</v>
      </c>
      <c r="P5" s="820">
        <v>0</v>
      </c>
      <c r="Q5" s="821"/>
    </row>
    <row r="6" spans="1:27" ht="15.6" customHeight="1" x14ac:dyDescent="0.25">
      <c r="A6" s="823"/>
      <c r="B6" s="197" t="s">
        <v>163</v>
      </c>
      <c r="C6" s="624">
        <v>1616</v>
      </c>
      <c r="D6" s="3">
        <v>1621</v>
      </c>
      <c r="E6" s="3">
        <v>1633</v>
      </c>
      <c r="F6" s="3">
        <v>1652</v>
      </c>
      <c r="G6" s="3">
        <v>1687</v>
      </c>
      <c r="H6" s="3">
        <v>1682</v>
      </c>
      <c r="I6" s="3">
        <v>1694</v>
      </c>
      <c r="J6" s="3">
        <v>1722</v>
      </c>
      <c r="K6" s="3">
        <v>1745</v>
      </c>
      <c r="L6" s="3">
        <v>1745</v>
      </c>
      <c r="M6" s="3"/>
      <c r="N6" s="610"/>
      <c r="O6" s="82">
        <v>1679.7</v>
      </c>
      <c r="P6" s="820">
        <v>0</v>
      </c>
      <c r="Q6" s="821"/>
    </row>
    <row r="7" spans="1:27" ht="16.5" thickBot="1" x14ac:dyDescent="0.25">
      <c r="A7" s="823"/>
      <c r="B7" s="197" t="s">
        <v>164</v>
      </c>
      <c r="C7" s="625">
        <v>11273</v>
      </c>
      <c r="D7" s="3">
        <v>11344</v>
      </c>
      <c r="E7" s="3">
        <v>11458</v>
      </c>
      <c r="F7" s="3">
        <v>11515</v>
      </c>
      <c r="G7" s="3">
        <v>11554</v>
      </c>
      <c r="H7" s="3">
        <v>11620</v>
      </c>
      <c r="I7" s="3">
        <v>11677</v>
      </c>
      <c r="J7" s="3">
        <v>11733</v>
      </c>
      <c r="K7" s="3">
        <v>11776</v>
      </c>
      <c r="L7" s="3">
        <v>11913</v>
      </c>
      <c r="M7" s="375"/>
      <c r="N7" s="611"/>
      <c r="O7" s="82">
        <v>11586.3</v>
      </c>
      <c r="P7" s="825">
        <v>0</v>
      </c>
      <c r="Q7" s="826"/>
    </row>
    <row r="8" spans="1:27" ht="16.5" customHeight="1" thickBot="1" x14ac:dyDescent="0.25">
      <c r="A8" s="824"/>
      <c r="B8" s="199" t="s">
        <v>184</v>
      </c>
      <c r="C8" s="83">
        <v>11413</v>
      </c>
      <c r="D8" s="83">
        <v>11465</v>
      </c>
      <c r="E8" s="83">
        <v>11458</v>
      </c>
      <c r="F8" s="83">
        <v>11515</v>
      </c>
      <c r="G8" s="83">
        <v>11554</v>
      </c>
      <c r="H8" s="83">
        <v>11620</v>
      </c>
      <c r="I8" s="83">
        <v>11677</v>
      </c>
      <c r="J8" s="83">
        <v>11733</v>
      </c>
      <c r="K8" s="83">
        <v>11776</v>
      </c>
      <c r="L8" s="83">
        <v>11913</v>
      </c>
      <c r="M8" s="83"/>
      <c r="N8" s="612"/>
      <c r="O8" s="84">
        <v>11612.4</v>
      </c>
      <c r="P8" s="827">
        <v>0</v>
      </c>
      <c r="Q8" s="828"/>
    </row>
    <row r="9" spans="1:27" ht="16.5" hidden="1" customHeight="1" thickBot="1" x14ac:dyDescent="0.25">
      <c r="A9" s="645" t="s">
        <v>165</v>
      </c>
      <c r="B9" s="372" t="s">
        <v>166</v>
      </c>
      <c r="C9" s="536"/>
      <c r="D9" s="536"/>
      <c r="E9" s="536"/>
      <c r="F9" s="536"/>
      <c r="G9" s="536"/>
      <c r="H9" s="536"/>
      <c r="I9" s="536"/>
      <c r="J9" s="536"/>
      <c r="K9" s="536"/>
      <c r="L9" s="536"/>
      <c r="M9" s="3"/>
      <c r="N9" s="3"/>
      <c r="O9" s="82" t="e">
        <f>ROUND(AVERAGE(C9:N9),0)</f>
        <v>#DIV/0!</v>
      </c>
      <c r="P9" s="253">
        <v>692</v>
      </c>
      <c r="Q9" s="506"/>
    </row>
    <row r="10" spans="1:27" ht="16.5" hidden="1" customHeight="1" thickBot="1" x14ac:dyDescent="0.25">
      <c r="A10" s="646"/>
      <c r="B10" s="537" t="s">
        <v>167</v>
      </c>
      <c r="C10" s="536"/>
      <c r="D10" s="536"/>
      <c r="E10" s="536"/>
      <c r="F10" s="536"/>
      <c r="G10" s="536"/>
      <c r="H10" s="536"/>
      <c r="I10" s="536"/>
      <c r="J10" s="536"/>
      <c r="K10" s="536"/>
      <c r="L10" s="536"/>
      <c r="M10" s="3"/>
      <c r="N10" s="3"/>
      <c r="O10" s="82" t="e">
        <f>ROUND(AVERAGE(C10:N10),0)</f>
        <v>#DIV/0!</v>
      </c>
      <c r="P10" s="251"/>
      <c r="Q10" s="507"/>
    </row>
    <row r="11" spans="1:27" ht="16.5" hidden="1" customHeight="1" thickBot="1" x14ac:dyDescent="0.25">
      <c r="A11" s="646"/>
      <c r="B11" s="538" t="s">
        <v>168</v>
      </c>
      <c r="C11" s="3"/>
      <c r="D11" s="3"/>
      <c r="E11" s="3"/>
      <c r="F11" s="3"/>
      <c r="G11" s="3"/>
      <c r="H11" s="3"/>
      <c r="I11" s="3"/>
      <c r="J11" s="3"/>
      <c r="K11" s="3"/>
      <c r="L11" s="3"/>
      <c r="M11" s="3"/>
      <c r="N11" s="3"/>
      <c r="O11" s="82" t="e">
        <f>ROUND(AVERAGE(C11:N11),0)</f>
        <v>#DIV/0!</v>
      </c>
      <c r="P11" s="254">
        <f>P9</f>
        <v>692</v>
      </c>
      <c r="Q11" s="508"/>
    </row>
    <row r="12" spans="1:27" ht="16.5" hidden="1" customHeight="1" thickBot="1" x14ac:dyDescent="0.25">
      <c r="A12" s="647"/>
      <c r="B12" s="199" t="s">
        <v>169</v>
      </c>
      <c r="C12" s="83">
        <f>SUM(C9:C10)</f>
        <v>0</v>
      </c>
      <c r="D12" s="83"/>
      <c r="E12" s="83"/>
      <c r="F12" s="83"/>
      <c r="G12" s="83"/>
      <c r="H12" s="83"/>
      <c r="I12" s="83"/>
      <c r="J12" s="83"/>
      <c r="K12" s="83"/>
      <c r="L12" s="83"/>
      <c r="M12" s="83"/>
      <c r="N12" s="83"/>
      <c r="O12" s="84">
        <f>ROUND(AVERAGE(B12:M12),0)</f>
        <v>0</v>
      </c>
      <c r="P12" s="374"/>
      <c r="Q12" s="509"/>
    </row>
    <row r="13" spans="1:27" ht="16.5" thickBot="1" x14ac:dyDescent="0.25">
      <c r="A13" s="556"/>
      <c r="B13" s="557"/>
      <c r="C13" s="555"/>
      <c r="D13" s="558"/>
      <c r="E13" s="558"/>
      <c r="F13" s="559"/>
      <c r="G13" s="555"/>
      <c r="H13" s="558"/>
      <c r="I13" s="559"/>
      <c r="J13" s="555"/>
      <c r="K13" s="555"/>
      <c r="L13" s="555"/>
      <c r="M13" s="555"/>
      <c r="N13" s="555"/>
      <c r="O13" s="555"/>
      <c r="P13" s="802"/>
      <c r="Q13" s="803"/>
    </row>
    <row r="14" spans="1:27" ht="16.5" thickBot="1" x14ac:dyDescent="0.25">
      <c r="A14" s="813" t="s">
        <v>369</v>
      </c>
      <c r="B14" s="814"/>
      <c r="C14" s="814"/>
      <c r="D14" s="814"/>
      <c r="E14" s="814"/>
      <c r="F14" s="814"/>
      <c r="G14" s="814"/>
      <c r="H14" s="814"/>
      <c r="I14" s="814"/>
      <c r="J14" s="814"/>
      <c r="K14" s="814"/>
      <c r="L14" s="814"/>
      <c r="M14" s="814"/>
      <c r="N14" s="814"/>
      <c r="O14" s="814"/>
      <c r="P14" s="814"/>
      <c r="Q14" s="815"/>
    </row>
    <row r="15" spans="1:27" ht="32.25" thickBot="1" x14ac:dyDescent="0.25">
      <c r="A15" s="85"/>
      <c r="B15" s="79" t="s">
        <v>279</v>
      </c>
      <c r="C15" s="492">
        <v>42917</v>
      </c>
      <c r="D15" s="492">
        <v>42948</v>
      </c>
      <c r="E15" s="492">
        <v>42979</v>
      </c>
      <c r="F15" s="492">
        <v>43009</v>
      </c>
      <c r="G15" s="492">
        <v>43040</v>
      </c>
      <c r="H15" s="492">
        <v>43070</v>
      </c>
      <c r="I15" s="492">
        <v>43101</v>
      </c>
      <c r="J15" s="492">
        <v>43132</v>
      </c>
      <c r="K15" s="492">
        <v>43160</v>
      </c>
      <c r="L15" s="492">
        <v>43191</v>
      </c>
      <c r="M15" s="492">
        <v>43221</v>
      </c>
      <c r="N15" s="492">
        <v>43252</v>
      </c>
      <c r="O15" s="81" t="s">
        <v>382</v>
      </c>
      <c r="P15" s="81" t="s">
        <v>351</v>
      </c>
      <c r="Q15" s="81" t="s">
        <v>368</v>
      </c>
      <c r="S15" s="277"/>
      <c r="T15" s="277"/>
      <c r="U15" s="277"/>
      <c r="V15" s="277"/>
      <c r="W15" s="103"/>
    </row>
    <row r="16" spans="1:27" ht="15.75" customHeight="1" x14ac:dyDescent="0.2">
      <c r="A16" s="822" t="s">
        <v>183</v>
      </c>
      <c r="B16" s="197" t="s">
        <v>185</v>
      </c>
      <c r="C16" s="87">
        <v>32479062.140000001</v>
      </c>
      <c r="D16" s="87">
        <v>27738542.810000002</v>
      </c>
      <c r="E16" s="3">
        <v>31281647.099999998</v>
      </c>
      <c r="F16" s="87">
        <v>32734350.669999998</v>
      </c>
      <c r="G16" s="87">
        <v>30874404.780000001</v>
      </c>
      <c r="H16" s="87">
        <v>28593930.919999998</v>
      </c>
      <c r="I16" s="87">
        <v>32591623.810000006</v>
      </c>
      <c r="J16" s="87">
        <v>29419489.49000001</v>
      </c>
      <c r="K16" s="87">
        <v>28724070.099999968</v>
      </c>
      <c r="L16" s="87">
        <v>35428732.030000001</v>
      </c>
      <c r="M16" s="598"/>
      <c r="N16" s="598"/>
      <c r="O16" s="88">
        <v>309865853.85000002</v>
      </c>
      <c r="P16" s="88">
        <v>381006241</v>
      </c>
      <c r="Q16" s="504">
        <v>0.81328288228748469</v>
      </c>
      <c r="S16" s="277"/>
      <c r="T16" s="277"/>
      <c r="U16" s="277"/>
      <c r="V16" s="277"/>
      <c r="W16" s="210"/>
      <c r="X16" s="210"/>
      <c r="Z16" s="210"/>
      <c r="AA16" s="210"/>
    </row>
    <row r="17" spans="1:28" ht="31.5" customHeight="1" x14ac:dyDescent="0.25">
      <c r="A17" s="823"/>
      <c r="B17" s="197" t="s">
        <v>280</v>
      </c>
      <c r="C17" s="87">
        <v>0</v>
      </c>
      <c r="D17" s="87">
        <v>308963.40000000002</v>
      </c>
      <c r="E17" s="87">
        <v>545445.15</v>
      </c>
      <c r="F17" s="87">
        <v>153038.74999999994</v>
      </c>
      <c r="G17" s="87">
        <v>7146676.0399999991</v>
      </c>
      <c r="H17" s="87">
        <v>954356.06000000017</v>
      </c>
      <c r="I17" s="87">
        <v>2116009.6799999997</v>
      </c>
      <c r="J17" s="87">
        <v>3631482.8299999996</v>
      </c>
      <c r="K17" s="87">
        <v>6685955.96</v>
      </c>
      <c r="L17" s="87">
        <v>3610925</v>
      </c>
      <c r="M17" s="598"/>
      <c r="N17" s="598"/>
      <c r="O17" s="88">
        <v>25152852.869999997</v>
      </c>
      <c r="P17" s="619">
        <v>0</v>
      </c>
      <c r="Q17" s="82"/>
      <c r="S17" s="277"/>
      <c r="T17" s="277"/>
      <c r="U17" s="277"/>
      <c r="V17" s="277"/>
      <c r="W17" s="455"/>
      <c r="X17" s="210"/>
      <c r="Y17" s="210"/>
      <c r="AA17" s="210"/>
      <c r="AB17" s="210"/>
    </row>
    <row r="18" spans="1:28" x14ac:dyDescent="0.25">
      <c r="A18" s="823"/>
      <c r="B18" s="197" t="s">
        <v>162</v>
      </c>
      <c r="C18" s="87">
        <v>6362536.0000000009</v>
      </c>
      <c r="D18" s="87">
        <v>4358777.2899999991</v>
      </c>
      <c r="E18" s="87">
        <v>5042097.6800000016</v>
      </c>
      <c r="F18" s="87">
        <v>6118031.1299999999</v>
      </c>
      <c r="G18" s="87">
        <v>5246954.1099999975</v>
      </c>
      <c r="H18" s="87">
        <v>4845134.6800000016</v>
      </c>
      <c r="I18" s="87">
        <v>5021106.7799999984</v>
      </c>
      <c r="J18" s="87">
        <v>5012152.6500000004</v>
      </c>
      <c r="K18" s="87">
        <v>5017332.7399999974</v>
      </c>
      <c r="L18" s="87">
        <v>5667527.6699999981</v>
      </c>
      <c r="M18" s="598"/>
      <c r="N18" s="598"/>
      <c r="O18" s="88">
        <v>52691650.729999989</v>
      </c>
      <c r="P18" s="640">
        <v>66499773</v>
      </c>
      <c r="Q18" s="504">
        <v>0.79235835481724104</v>
      </c>
      <c r="S18" s="277"/>
      <c r="T18" s="277"/>
      <c r="U18" s="277"/>
      <c r="V18" s="277"/>
      <c r="W18" s="455"/>
      <c r="X18" s="210"/>
      <c r="Y18" s="210"/>
      <c r="AA18" s="210"/>
      <c r="AB18" s="210"/>
    </row>
    <row r="19" spans="1:28" ht="15.6" customHeight="1" x14ac:dyDescent="0.2">
      <c r="A19" s="823"/>
      <c r="B19" s="197" t="s">
        <v>163</v>
      </c>
      <c r="C19" s="87">
        <v>2473362.88</v>
      </c>
      <c r="D19" s="87">
        <v>2139402.5</v>
      </c>
      <c r="E19" s="87">
        <v>2058248.44</v>
      </c>
      <c r="F19" s="87">
        <v>2515943.7300000009</v>
      </c>
      <c r="G19" s="87">
        <v>2097568.8000000003</v>
      </c>
      <c r="H19" s="87">
        <v>2376484.44</v>
      </c>
      <c r="I19" s="87">
        <v>1900583.6200000003</v>
      </c>
      <c r="J19" s="87">
        <v>1815327.3600000003</v>
      </c>
      <c r="K19" s="87">
        <v>1571437.3399999996</v>
      </c>
      <c r="L19" s="87">
        <v>2012559.9099999997</v>
      </c>
      <c r="M19" s="598"/>
      <c r="N19" s="598"/>
      <c r="O19" s="88">
        <v>20960919.020000003</v>
      </c>
      <c r="P19" s="641">
        <v>26862221</v>
      </c>
      <c r="Q19" s="504">
        <v>0.78031220947813673</v>
      </c>
      <c r="S19" s="277"/>
      <c r="T19" s="277"/>
      <c r="U19" s="277"/>
      <c r="V19" s="277"/>
      <c r="W19" s="210"/>
      <c r="X19" s="210"/>
      <c r="Z19" s="210"/>
      <c r="AA19" s="210"/>
    </row>
    <row r="20" spans="1:28" x14ac:dyDescent="0.25">
      <c r="A20" s="823"/>
      <c r="B20" s="197" t="s">
        <v>164</v>
      </c>
      <c r="C20" s="87">
        <v>2836349.33</v>
      </c>
      <c r="D20" s="87">
        <v>1409462.72</v>
      </c>
      <c r="E20" s="87">
        <v>2263316.3399999994</v>
      </c>
      <c r="F20" s="87">
        <v>3301842.3</v>
      </c>
      <c r="G20" s="87">
        <v>2050885.3299999998</v>
      </c>
      <c r="H20" s="87">
        <v>2107083.27</v>
      </c>
      <c r="I20" s="87">
        <v>2192412.3099999996</v>
      </c>
      <c r="J20" s="87">
        <v>2729741.7899999982</v>
      </c>
      <c r="K20" s="87">
        <v>2557925.2400000002</v>
      </c>
      <c r="L20" s="87">
        <v>3227065.29</v>
      </c>
      <c r="M20" s="598"/>
      <c r="N20" s="598"/>
      <c r="O20" s="88">
        <v>24676083.919999994</v>
      </c>
      <c r="P20" s="642">
        <v>29967846</v>
      </c>
      <c r="Q20" s="504">
        <v>0.82341867079802777</v>
      </c>
      <c r="S20" s="277"/>
      <c r="T20" s="277"/>
      <c r="U20" s="277"/>
      <c r="V20" s="210"/>
      <c r="W20" s="210"/>
      <c r="Y20" s="210"/>
      <c r="Z20" s="210"/>
    </row>
    <row r="21" spans="1:28" ht="32.25" thickBot="1" x14ac:dyDescent="0.25">
      <c r="A21" s="823"/>
      <c r="B21" s="197" t="s">
        <v>281</v>
      </c>
      <c r="C21" s="87">
        <v>0</v>
      </c>
      <c r="D21" s="87">
        <v>390554.54000000015</v>
      </c>
      <c r="E21" s="87">
        <v>404760.90000000026</v>
      </c>
      <c r="F21" s="87">
        <v>401285.35000000021</v>
      </c>
      <c r="G21" s="87">
        <v>418033.63000000024</v>
      </c>
      <c r="H21" s="87">
        <v>408109.3400000002</v>
      </c>
      <c r="I21" s="87">
        <v>404688.85000000015</v>
      </c>
      <c r="J21" s="87">
        <v>354715.84000000008</v>
      </c>
      <c r="K21" s="87">
        <v>488465.54000000004</v>
      </c>
      <c r="L21" s="87">
        <v>359734.89</v>
      </c>
      <c r="M21" s="87"/>
      <c r="N21" s="87"/>
      <c r="O21" s="88">
        <v>3630348.8800000013</v>
      </c>
      <c r="P21" s="88">
        <v>5227918</v>
      </c>
      <c r="Q21" s="504">
        <v>0.69441580376738909</v>
      </c>
      <c r="S21" s="210"/>
      <c r="T21" s="210"/>
      <c r="U21" s="210"/>
      <c r="V21" s="210"/>
      <c r="W21" s="210"/>
      <c r="X21" s="210"/>
      <c r="Z21" s="210"/>
      <c r="AA21" s="210"/>
    </row>
    <row r="22" spans="1:28" ht="15.6" customHeight="1" thickBot="1" x14ac:dyDescent="0.25">
      <c r="A22" s="824"/>
      <c r="B22" s="199" t="s">
        <v>184</v>
      </c>
      <c r="C22" s="89">
        <v>44151310.350000001</v>
      </c>
      <c r="D22" s="89">
        <v>36345703.259999998</v>
      </c>
      <c r="E22" s="89">
        <v>41595515.609999992</v>
      </c>
      <c r="F22" s="89">
        <v>45224491.93</v>
      </c>
      <c r="G22" s="89">
        <v>47834522.689999998</v>
      </c>
      <c r="H22" s="89">
        <v>39285098.710000001</v>
      </c>
      <c r="I22" s="89">
        <v>44226425.050000012</v>
      </c>
      <c r="J22" s="89">
        <v>42962909.960000008</v>
      </c>
      <c r="K22" s="89">
        <v>45045186.919999957</v>
      </c>
      <c r="L22" s="89">
        <v>50306544.789999999</v>
      </c>
      <c r="M22" s="599"/>
      <c r="N22" s="599"/>
      <c r="O22" s="90">
        <v>411824856.40000004</v>
      </c>
      <c r="P22" s="90">
        <v>509563999</v>
      </c>
      <c r="Q22" s="505">
        <v>0.80819064378211702</v>
      </c>
    </row>
    <row r="23" spans="1:28" ht="16.5" thickBot="1" x14ac:dyDescent="0.25">
      <c r="A23" s="648"/>
      <c r="B23" s="204" t="s">
        <v>96</v>
      </c>
      <c r="C23" s="553">
        <v>5</v>
      </c>
      <c r="D23" s="553">
        <v>4</v>
      </c>
      <c r="E23" s="553">
        <v>4</v>
      </c>
      <c r="F23" s="553">
        <v>5</v>
      </c>
      <c r="G23" s="553">
        <v>4</v>
      </c>
      <c r="H23" s="553">
        <v>4</v>
      </c>
      <c r="I23" s="553">
        <v>5</v>
      </c>
      <c r="J23" s="553">
        <v>4</v>
      </c>
      <c r="K23" s="553">
        <v>4</v>
      </c>
      <c r="L23" s="553">
        <v>5</v>
      </c>
      <c r="M23" s="553">
        <v>4</v>
      </c>
      <c r="N23" s="553">
        <v>4</v>
      </c>
      <c r="O23" s="554">
        <v>52</v>
      </c>
      <c r="P23" s="92"/>
      <c r="Q23" s="92"/>
    </row>
    <row r="24" spans="1:28" ht="16.5" thickBot="1" x14ac:dyDescent="0.25">
      <c r="A24" s="649"/>
      <c r="B24" s="199" t="s">
        <v>170</v>
      </c>
      <c r="C24" s="93">
        <f t="shared" ref="C24:L24" si="0">ROUND(C22/C23,0)</f>
        <v>8830262</v>
      </c>
      <c r="D24" s="93">
        <f t="shared" si="0"/>
        <v>9086426</v>
      </c>
      <c r="E24" s="93">
        <f t="shared" si="0"/>
        <v>10398879</v>
      </c>
      <c r="F24" s="93">
        <f t="shared" si="0"/>
        <v>9044898</v>
      </c>
      <c r="G24" s="93">
        <f t="shared" si="0"/>
        <v>11958631</v>
      </c>
      <c r="H24" s="93">
        <f t="shared" si="0"/>
        <v>9821275</v>
      </c>
      <c r="I24" s="93">
        <f t="shared" si="0"/>
        <v>8845285</v>
      </c>
      <c r="J24" s="93">
        <f t="shared" si="0"/>
        <v>10740727</v>
      </c>
      <c r="K24" s="93">
        <f t="shared" si="0"/>
        <v>11261297</v>
      </c>
      <c r="L24" s="93">
        <f t="shared" si="0"/>
        <v>10061309</v>
      </c>
      <c r="M24" s="93"/>
      <c r="N24" s="93"/>
      <c r="O24" s="94">
        <f>ROUND(O22/SUMIFS(C23:N23,C22:N22,"&lt;&gt;"&amp;""),0)</f>
        <v>9359656</v>
      </c>
      <c r="P24" s="94"/>
      <c r="Q24" s="94"/>
    </row>
    <row r="25" spans="1:28" ht="18.75" customHeight="1" x14ac:dyDescent="0.2">
      <c r="A25" s="645" t="s">
        <v>165</v>
      </c>
      <c r="B25" s="372" t="s">
        <v>166</v>
      </c>
      <c r="C25" s="539">
        <v>0</v>
      </c>
      <c r="D25" s="87">
        <v>600889.85</v>
      </c>
      <c r="E25" s="3">
        <v>600889.85</v>
      </c>
      <c r="F25" s="539">
        <v>668437.77999999991</v>
      </c>
      <c r="G25" s="539">
        <v>550647.64</v>
      </c>
      <c r="H25" s="539">
        <v>600889.85</v>
      </c>
      <c r="I25" s="539">
        <v>600889.85</v>
      </c>
      <c r="J25" s="539">
        <v>600889.84999999986</v>
      </c>
      <c r="K25" s="539">
        <v>590545.78999999992</v>
      </c>
      <c r="L25" s="539">
        <v>653530.51000000013</v>
      </c>
      <c r="M25" s="539"/>
      <c r="N25" s="539"/>
      <c r="O25" s="88">
        <v>5467610.9699999997</v>
      </c>
      <c r="P25" s="620">
        <v>8030743</v>
      </c>
      <c r="Q25" s="504">
        <v>0.68083500742085756</v>
      </c>
    </row>
    <row r="26" spans="1:28" ht="18.75" customHeight="1" x14ac:dyDescent="0.2">
      <c r="A26" s="646"/>
      <c r="B26" s="537" t="s">
        <v>167</v>
      </c>
      <c r="C26" s="539">
        <v>0</v>
      </c>
      <c r="D26" s="87">
        <v>582267.32999999996</v>
      </c>
      <c r="E26" s="539">
        <v>582267.32999999996</v>
      </c>
      <c r="F26" s="539">
        <v>647369.21</v>
      </c>
      <c r="G26" s="539">
        <v>517165.4499999999</v>
      </c>
      <c r="H26" s="539">
        <v>582267.32999999996</v>
      </c>
      <c r="I26" s="539">
        <v>582267.32999999996</v>
      </c>
      <c r="J26" s="539">
        <v>582267.32999999996</v>
      </c>
      <c r="K26" s="539">
        <v>582267.32999999996</v>
      </c>
      <c r="L26" s="539">
        <v>582267.32999999996</v>
      </c>
      <c r="M26" s="539"/>
      <c r="N26" s="539"/>
      <c r="O26" s="88">
        <v>5240405.97</v>
      </c>
      <c r="P26" s="621">
        <v>7058033</v>
      </c>
      <c r="Q26" s="504">
        <v>0.74247399665034153</v>
      </c>
      <c r="S26" s="178"/>
      <c r="T26" s="178"/>
      <c r="U26" s="210"/>
    </row>
    <row r="27" spans="1:28" ht="18.75" customHeight="1" thickBot="1" x14ac:dyDescent="0.25">
      <c r="A27" s="646"/>
      <c r="B27" s="538" t="s">
        <v>282</v>
      </c>
      <c r="C27" s="539">
        <v>0</v>
      </c>
      <c r="D27" s="87">
        <v>163628.27000000002</v>
      </c>
      <c r="E27" s="539">
        <v>163628.27000000002</v>
      </c>
      <c r="F27" s="539">
        <v>181986.24</v>
      </c>
      <c r="G27" s="539">
        <v>146408.43</v>
      </c>
      <c r="H27" s="539">
        <v>163628.27000000002</v>
      </c>
      <c r="I27" s="539">
        <v>163628.27000000002</v>
      </c>
      <c r="J27" s="539">
        <v>163628.27000000002</v>
      </c>
      <c r="K27" s="539">
        <v>163628.27000000002</v>
      </c>
      <c r="L27" s="539">
        <v>172877.37000000002</v>
      </c>
      <c r="M27" s="539"/>
      <c r="N27" s="539"/>
      <c r="O27" s="88">
        <v>1483041.6600000001</v>
      </c>
      <c r="P27" s="622">
        <v>2116047</v>
      </c>
      <c r="Q27" s="504">
        <v>0.70085478252609712</v>
      </c>
      <c r="S27" s="178"/>
      <c r="T27" s="178"/>
      <c r="U27" s="210"/>
    </row>
    <row r="28" spans="1:28" ht="16.149999999999999" customHeight="1" thickBot="1" x14ac:dyDescent="0.25">
      <c r="A28" s="646"/>
      <c r="B28" s="199" t="s">
        <v>169</v>
      </c>
      <c r="C28" s="89">
        <v>0</v>
      </c>
      <c r="D28" s="89">
        <v>1346785.45</v>
      </c>
      <c r="E28" s="89">
        <v>1346785.45</v>
      </c>
      <c r="F28" s="89">
        <v>1497793.2299999997</v>
      </c>
      <c r="G28" s="89">
        <v>1214221.5199999998</v>
      </c>
      <c r="H28" s="89">
        <v>1346785.45</v>
      </c>
      <c r="I28" s="89">
        <v>1346785.45</v>
      </c>
      <c r="J28" s="89">
        <v>1346785.4499999997</v>
      </c>
      <c r="K28" s="89">
        <v>1336441.3899999999</v>
      </c>
      <c r="L28" s="89">
        <v>1408675.2100000002</v>
      </c>
      <c r="M28" s="89"/>
      <c r="N28" s="89"/>
      <c r="O28" s="90">
        <v>12191058.600000001</v>
      </c>
      <c r="P28" s="90">
        <v>17204823</v>
      </c>
      <c r="Q28" s="505">
        <v>0.70858378490729035</v>
      </c>
      <c r="T28" s="178"/>
      <c r="U28" s="210"/>
    </row>
    <row r="29" spans="1:28" ht="16.149999999999999" customHeight="1" thickBot="1" x14ac:dyDescent="0.25">
      <c r="A29" s="647"/>
      <c r="B29" s="199" t="s">
        <v>170</v>
      </c>
      <c r="C29" s="93">
        <v>0</v>
      </c>
      <c r="D29" s="93">
        <v>336696</v>
      </c>
      <c r="E29" s="93">
        <v>336696</v>
      </c>
      <c r="F29" s="93">
        <v>299559</v>
      </c>
      <c r="G29" s="93">
        <v>303555</v>
      </c>
      <c r="H29" s="93">
        <v>336696</v>
      </c>
      <c r="I29" s="93">
        <v>269357</v>
      </c>
      <c r="J29" s="93">
        <v>336696</v>
      </c>
      <c r="K29" s="93">
        <v>334110</v>
      </c>
      <c r="L29" s="93">
        <v>281735</v>
      </c>
      <c r="M29" s="93"/>
      <c r="N29" s="93"/>
      <c r="O29" s="94">
        <v>259384.23</v>
      </c>
      <c r="P29" s="94"/>
      <c r="Q29" s="94"/>
      <c r="S29" s="178"/>
      <c r="T29" s="178"/>
      <c r="U29" s="210"/>
    </row>
    <row r="30" spans="1:28" x14ac:dyDescent="0.2">
      <c r="A30" s="540" t="s">
        <v>171</v>
      </c>
      <c r="B30" s="541"/>
      <c r="C30" s="542"/>
      <c r="D30" s="543"/>
      <c r="E30" s="544"/>
      <c r="F30" s="543"/>
      <c r="G30" s="544"/>
      <c r="H30" s="543"/>
      <c r="I30" s="544"/>
      <c r="J30" s="543"/>
      <c r="K30" s="543"/>
      <c r="L30" s="543"/>
      <c r="M30" s="543"/>
      <c r="N30" s="542"/>
      <c r="O30" s="542"/>
      <c r="P30" s="542"/>
      <c r="Q30" s="545"/>
      <c r="S30" s="178"/>
      <c r="T30" s="178"/>
      <c r="U30" s="546"/>
    </row>
    <row r="31" spans="1:28" ht="16.5" customHeight="1" x14ac:dyDescent="0.2">
      <c r="A31" s="807" t="s">
        <v>328</v>
      </c>
      <c r="B31" s="808"/>
      <c r="C31" s="808"/>
      <c r="D31" s="808"/>
      <c r="E31" s="808"/>
      <c r="F31" s="808"/>
      <c r="G31" s="808"/>
      <c r="H31" s="808"/>
      <c r="I31" s="808"/>
      <c r="J31" s="808"/>
      <c r="K31" s="808"/>
      <c r="L31" s="808"/>
      <c r="M31" s="808"/>
      <c r="N31" s="808"/>
      <c r="O31" s="808"/>
      <c r="P31" s="808"/>
      <c r="Q31" s="809"/>
      <c r="S31" s="178"/>
      <c r="T31" s="178"/>
      <c r="U31" s="546"/>
    </row>
    <row r="32" spans="1:28" ht="16.5" customHeight="1" x14ac:dyDescent="0.2">
      <c r="A32" s="807" t="s">
        <v>199</v>
      </c>
      <c r="B32" s="808"/>
      <c r="C32" s="808"/>
      <c r="D32" s="808"/>
      <c r="E32" s="808"/>
      <c r="F32" s="808"/>
      <c r="G32" s="808"/>
      <c r="H32" s="808"/>
      <c r="I32" s="808"/>
      <c r="J32" s="808"/>
      <c r="K32" s="808"/>
      <c r="L32" s="808"/>
      <c r="M32" s="808"/>
      <c r="N32" s="808"/>
      <c r="O32" s="808"/>
      <c r="P32" s="808"/>
      <c r="Q32" s="809"/>
      <c r="S32" s="178"/>
      <c r="T32" s="178"/>
      <c r="U32" s="546"/>
    </row>
    <row r="33" spans="1:18" ht="16.5" customHeight="1" x14ac:dyDescent="0.2">
      <c r="A33" s="807" t="s">
        <v>378</v>
      </c>
      <c r="B33" s="808"/>
      <c r="C33" s="808"/>
      <c r="D33" s="808"/>
      <c r="E33" s="808"/>
      <c r="F33" s="808"/>
      <c r="G33" s="808"/>
      <c r="H33" s="808"/>
      <c r="I33" s="808"/>
      <c r="J33" s="808"/>
      <c r="K33" s="808"/>
      <c r="L33" s="808"/>
      <c r="M33" s="808"/>
      <c r="N33" s="808"/>
      <c r="O33" s="808"/>
      <c r="P33" s="808"/>
      <c r="Q33" s="809"/>
    </row>
    <row r="34" spans="1:18" ht="16.5" customHeight="1" x14ac:dyDescent="0.2">
      <c r="A34" s="804" t="s">
        <v>417</v>
      </c>
      <c r="B34" s="805"/>
      <c r="C34" s="805"/>
      <c r="D34" s="805"/>
      <c r="E34" s="805"/>
      <c r="F34" s="805"/>
      <c r="G34" s="805"/>
      <c r="H34" s="805"/>
      <c r="I34" s="805"/>
      <c r="J34" s="805"/>
      <c r="K34" s="805"/>
      <c r="L34" s="805"/>
      <c r="M34" s="805"/>
      <c r="N34" s="805"/>
      <c r="O34" s="805"/>
      <c r="P34" s="805"/>
      <c r="Q34" s="806"/>
    </row>
    <row r="35" spans="1:18" ht="16.5" customHeight="1" x14ac:dyDescent="0.2">
      <c r="A35" s="804" t="s">
        <v>418</v>
      </c>
      <c r="B35" s="805"/>
      <c r="C35" s="805"/>
      <c r="D35" s="805"/>
      <c r="E35" s="805"/>
      <c r="F35" s="805"/>
      <c r="G35" s="805"/>
      <c r="H35" s="805"/>
      <c r="I35" s="805"/>
      <c r="J35" s="805"/>
      <c r="K35" s="805"/>
      <c r="L35" s="805"/>
      <c r="M35" s="805"/>
      <c r="N35" s="805"/>
      <c r="O35" s="805"/>
      <c r="P35" s="805"/>
      <c r="Q35" s="806"/>
    </row>
    <row r="36" spans="1:18" ht="25.5" x14ac:dyDescent="0.2">
      <c r="A36" s="799" t="s">
        <v>419</v>
      </c>
      <c r="B36" s="800"/>
      <c r="C36" s="800"/>
      <c r="D36" s="800"/>
      <c r="E36" s="800"/>
      <c r="F36" s="800"/>
      <c r="G36" s="800"/>
      <c r="H36" s="800"/>
      <c r="I36" s="800"/>
      <c r="J36" s="800"/>
      <c r="K36" s="800"/>
      <c r="L36" s="800"/>
      <c r="M36" s="800"/>
      <c r="N36" s="800"/>
      <c r="O36" s="800"/>
      <c r="P36" s="800"/>
      <c r="Q36" s="801"/>
      <c r="R36" s="586" t="s">
        <v>338</v>
      </c>
    </row>
    <row r="37" spans="1:18" x14ac:dyDescent="0.2">
      <c r="A37" s="799" t="s">
        <v>421</v>
      </c>
      <c r="B37" s="800"/>
      <c r="C37" s="800"/>
      <c r="D37" s="800"/>
      <c r="E37" s="800"/>
      <c r="F37" s="800"/>
      <c r="G37" s="800"/>
      <c r="H37" s="800"/>
      <c r="I37" s="800"/>
      <c r="J37" s="800"/>
      <c r="K37" s="800"/>
      <c r="L37" s="800"/>
      <c r="M37" s="800"/>
      <c r="N37" s="800"/>
      <c r="O37" s="800"/>
      <c r="P37" s="800"/>
      <c r="Q37" s="801"/>
      <c r="R37" s="586"/>
    </row>
    <row r="38" spans="1:18" ht="16.5" thickBot="1" x14ac:dyDescent="0.25">
      <c r="A38" s="810" t="s">
        <v>420</v>
      </c>
      <c r="B38" s="811"/>
      <c r="C38" s="811"/>
      <c r="D38" s="811"/>
      <c r="E38" s="811"/>
      <c r="F38" s="811"/>
      <c r="G38" s="811"/>
      <c r="H38" s="811"/>
      <c r="I38" s="811"/>
      <c r="J38" s="811"/>
      <c r="K38" s="811"/>
      <c r="L38" s="811"/>
      <c r="M38" s="811"/>
      <c r="N38" s="811"/>
      <c r="O38" s="811"/>
      <c r="P38" s="811"/>
      <c r="Q38" s="812"/>
      <c r="R38" s="586"/>
    </row>
    <row r="48" spans="1:18" x14ac:dyDescent="0.2">
      <c r="B48" s="535"/>
    </row>
    <row r="49" spans="2:2" x14ac:dyDescent="0.2">
      <c r="B49" s="535"/>
    </row>
    <row r="50" spans="2:2" x14ac:dyDescent="0.2">
      <c r="B50" s="535"/>
    </row>
    <row r="51" spans="2:2" x14ac:dyDescent="0.2">
      <c r="B51" s="535"/>
    </row>
    <row r="52" spans="2:2" x14ac:dyDescent="0.2">
      <c r="B52" s="535"/>
    </row>
    <row r="53" spans="2:2" x14ac:dyDescent="0.2">
      <c r="B53" s="535"/>
    </row>
    <row r="54" spans="2:2" x14ac:dyDescent="0.2">
      <c r="B54" s="535"/>
    </row>
    <row r="55" spans="2:2" x14ac:dyDescent="0.2">
      <c r="B55" s="535"/>
    </row>
    <row r="59" spans="2:2" ht="37.5" customHeight="1" x14ac:dyDescent="0.2"/>
  </sheetData>
  <mergeCells count="23">
    <mergeCell ref="A38:Q38"/>
    <mergeCell ref="A1:Q1"/>
    <mergeCell ref="P2:Q2"/>
    <mergeCell ref="P3:Q3"/>
    <mergeCell ref="P4:Q4"/>
    <mergeCell ref="P5:Q5"/>
    <mergeCell ref="A3:A8"/>
    <mergeCell ref="P6:Q6"/>
    <mergeCell ref="P7:Q7"/>
    <mergeCell ref="P8:Q8"/>
    <mergeCell ref="A37:Q37"/>
    <mergeCell ref="A32:Q32"/>
    <mergeCell ref="A16:A22"/>
    <mergeCell ref="A9:A12"/>
    <mergeCell ref="A14:Q14"/>
    <mergeCell ref="A23:A24"/>
    <mergeCell ref="A36:Q36"/>
    <mergeCell ref="P13:Q13"/>
    <mergeCell ref="A34:Q34"/>
    <mergeCell ref="A25:A29"/>
    <mergeCell ref="A31:Q31"/>
    <mergeCell ref="A35:Q35"/>
    <mergeCell ref="A33:Q33"/>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
  <dimension ref="A1:M60"/>
  <sheetViews>
    <sheetView view="pageBreakPreview" zoomScaleNormal="100" zoomScaleSheetLayoutView="100" workbookViewId="0">
      <selection activeCell="C41" sqref="C41"/>
    </sheetView>
  </sheetViews>
  <sheetFormatPr defaultColWidth="9.140625" defaultRowHeight="15.75" x14ac:dyDescent="0.25"/>
  <cols>
    <col min="1" max="1" width="32.85546875" style="12" customWidth="1"/>
    <col min="2" max="2" width="40.28515625" style="12" customWidth="1"/>
    <col min="3" max="3" width="34.42578125" style="12" customWidth="1"/>
    <col min="4" max="4" width="12.140625" style="12" bestFit="1" customWidth="1"/>
    <col min="5" max="5" width="13.7109375" style="12" bestFit="1" customWidth="1"/>
    <col min="6" max="10" width="9.140625" style="12"/>
    <col min="11" max="11" width="13.7109375" style="12" bestFit="1" customWidth="1"/>
    <col min="12" max="12" width="9.140625" style="12"/>
    <col min="13" max="13" width="9.28515625" style="12" bestFit="1" customWidth="1"/>
    <col min="14" max="16384" width="9.140625" style="12"/>
  </cols>
  <sheetData>
    <row r="1" spans="1:5" x14ac:dyDescent="0.25">
      <c r="A1" s="735" t="s">
        <v>363</v>
      </c>
      <c r="B1" s="829"/>
      <c r="C1" s="830"/>
    </row>
    <row r="2" spans="1:5" ht="31.5" x14ac:dyDescent="0.25">
      <c r="A2" s="243"/>
      <c r="B2" s="8" t="s">
        <v>76</v>
      </c>
      <c r="C2" s="244" t="s">
        <v>44</v>
      </c>
    </row>
    <row r="3" spans="1:5" hidden="1" x14ac:dyDescent="0.25">
      <c r="A3" s="495">
        <v>39995</v>
      </c>
      <c r="B3" s="15">
        <v>1202915.42</v>
      </c>
      <c r="C3" s="496">
        <v>4155</v>
      </c>
      <c r="D3" s="11"/>
      <c r="E3" s="11"/>
    </row>
    <row r="4" spans="1:5" hidden="1" x14ac:dyDescent="0.25">
      <c r="A4" s="495">
        <v>40026</v>
      </c>
      <c r="B4" s="15">
        <v>857647.38</v>
      </c>
      <c r="C4" s="496">
        <v>3150</v>
      </c>
      <c r="D4" s="11"/>
      <c r="E4" s="11"/>
    </row>
    <row r="5" spans="1:5" hidden="1" x14ac:dyDescent="0.25">
      <c r="A5" s="495">
        <v>40057</v>
      </c>
      <c r="B5" s="15">
        <v>567423.17000000004</v>
      </c>
      <c r="C5" s="497">
        <v>3172</v>
      </c>
    </row>
    <row r="6" spans="1:5" hidden="1" x14ac:dyDescent="0.25">
      <c r="A6" s="495">
        <v>40087</v>
      </c>
      <c r="B6" s="15">
        <v>586124.01</v>
      </c>
      <c r="C6" s="497">
        <v>3172</v>
      </c>
    </row>
    <row r="7" spans="1:5" hidden="1" x14ac:dyDescent="0.25">
      <c r="A7" s="495">
        <v>40118</v>
      </c>
      <c r="B7" s="15">
        <v>675163.58</v>
      </c>
      <c r="C7" s="497">
        <v>3160</v>
      </c>
    </row>
    <row r="8" spans="1:5" hidden="1" x14ac:dyDescent="0.25">
      <c r="A8" s="495">
        <v>40148</v>
      </c>
      <c r="B8" s="15">
        <v>514901.26</v>
      </c>
      <c r="C8" s="497">
        <v>3175</v>
      </c>
    </row>
    <row r="9" spans="1:5" hidden="1" x14ac:dyDescent="0.25">
      <c r="A9" s="495">
        <v>40179</v>
      </c>
      <c r="B9" s="15">
        <v>617187.38</v>
      </c>
      <c r="C9" s="497">
        <v>3186</v>
      </c>
    </row>
    <row r="10" spans="1:5" hidden="1" x14ac:dyDescent="0.25">
      <c r="A10" s="495">
        <v>40210</v>
      </c>
      <c r="B10" s="15">
        <v>608261.57999999996</v>
      </c>
      <c r="C10" s="497">
        <v>3257</v>
      </c>
    </row>
    <row r="11" spans="1:5" hidden="1" x14ac:dyDescent="0.25">
      <c r="A11" s="495">
        <v>40238</v>
      </c>
      <c r="B11" s="15">
        <v>613887.02</v>
      </c>
      <c r="C11" s="497">
        <v>3349</v>
      </c>
    </row>
    <row r="12" spans="1:5" hidden="1" x14ac:dyDescent="0.25">
      <c r="A12" s="495">
        <v>40269</v>
      </c>
      <c r="B12" s="15">
        <v>590396.07999999996</v>
      </c>
      <c r="C12" s="497">
        <v>3390</v>
      </c>
    </row>
    <row r="13" spans="1:5" hidden="1" x14ac:dyDescent="0.25">
      <c r="A13" s="495">
        <v>40299</v>
      </c>
      <c r="B13" s="15">
        <v>739317.21</v>
      </c>
      <c r="C13" s="497">
        <v>3438</v>
      </c>
    </row>
    <row r="14" spans="1:5" hidden="1" x14ac:dyDescent="0.25">
      <c r="A14" s="495">
        <v>40330</v>
      </c>
      <c r="B14" s="15">
        <v>633411.6</v>
      </c>
      <c r="C14" s="497">
        <v>3479</v>
      </c>
    </row>
    <row r="15" spans="1:5" x14ac:dyDescent="0.25">
      <c r="A15" s="240" t="s">
        <v>3</v>
      </c>
      <c r="B15" s="15">
        <v>33622.03</v>
      </c>
      <c r="C15" s="498">
        <v>100</v>
      </c>
      <c r="D15" s="11"/>
    </row>
    <row r="16" spans="1:5" x14ac:dyDescent="0.25">
      <c r="A16" s="240" t="s">
        <v>4</v>
      </c>
      <c r="B16" s="15">
        <v>53690.249999999993</v>
      </c>
      <c r="C16" s="499">
        <v>103</v>
      </c>
      <c r="D16" s="99"/>
      <c r="E16" s="96"/>
    </row>
    <row r="17" spans="1:5" x14ac:dyDescent="0.25">
      <c r="A17" s="240" t="s">
        <v>5</v>
      </c>
      <c r="B17" s="15">
        <v>43626.55</v>
      </c>
      <c r="C17" s="499">
        <v>114</v>
      </c>
      <c r="D17" s="99"/>
      <c r="E17" s="96"/>
    </row>
    <row r="18" spans="1:5" x14ac:dyDescent="0.25">
      <c r="A18" s="240" t="s">
        <v>6</v>
      </c>
      <c r="B18" s="15">
        <v>50008.010000000009</v>
      </c>
      <c r="C18" s="499">
        <v>102</v>
      </c>
      <c r="D18" s="99"/>
      <c r="E18" s="96"/>
    </row>
    <row r="19" spans="1:5" x14ac:dyDescent="0.25">
      <c r="A19" s="240" t="s">
        <v>7</v>
      </c>
      <c r="B19" s="15">
        <v>22826.809999999998</v>
      </c>
      <c r="C19" s="499">
        <v>101</v>
      </c>
      <c r="D19" s="99"/>
      <c r="E19" s="96"/>
    </row>
    <row r="20" spans="1:5" x14ac:dyDescent="0.25">
      <c r="A20" s="240" t="s">
        <v>8</v>
      </c>
      <c r="B20" s="15">
        <v>23825.170000000006</v>
      </c>
      <c r="C20" s="499">
        <v>106</v>
      </c>
      <c r="D20" s="99"/>
      <c r="E20" s="96"/>
    </row>
    <row r="21" spans="1:5" x14ac:dyDescent="0.25">
      <c r="A21" s="240" t="s">
        <v>9</v>
      </c>
      <c r="B21" s="15">
        <v>37614.380000000005</v>
      </c>
      <c r="C21" s="497">
        <v>122</v>
      </c>
      <c r="D21" s="99"/>
      <c r="E21" s="96"/>
    </row>
    <row r="22" spans="1:5" x14ac:dyDescent="0.25">
      <c r="A22" s="240" t="s">
        <v>10</v>
      </c>
      <c r="B22" s="15">
        <v>47030.99</v>
      </c>
      <c r="C22" s="497">
        <v>126</v>
      </c>
      <c r="D22" s="99"/>
    </row>
    <row r="23" spans="1:5" x14ac:dyDescent="0.25">
      <c r="A23" s="240" t="s">
        <v>11</v>
      </c>
      <c r="B23" s="15">
        <v>53866.34</v>
      </c>
      <c r="C23" s="497">
        <v>119</v>
      </c>
      <c r="D23" s="99"/>
    </row>
    <row r="24" spans="1:5" x14ac:dyDescent="0.25">
      <c r="A24" s="240" t="s">
        <v>12</v>
      </c>
      <c r="B24" s="15">
        <v>29585.690000000002</v>
      </c>
      <c r="C24" s="497">
        <v>118</v>
      </c>
      <c r="D24" s="99"/>
    </row>
    <row r="25" spans="1:5" x14ac:dyDescent="0.25">
      <c r="A25" s="240" t="s">
        <v>13</v>
      </c>
      <c r="B25" s="633"/>
      <c r="C25" s="600"/>
      <c r="D25" s="99"/>
    </row>
    <row r="26" spans="1:5" x14ac:dyDescent="0.25">
      <c r="A26" s="242" t="s">
        <v>25</v>
      </c>
      <c r="B26" s="634"/>
      <c r="C26" s="605"/>
      <c r="D26" s="99"/>
    </row>
    <row r="27" spans="1:5" x14ac:dyDescent="0.25">
      <c r="A27" s="245" t="s">
        <v>46</v>
      </c>
      <c r="B27" s="19">
        <v>395696.22000000003</v>
      </c>
      <c r="C27" s="501">
        <v>111</v>
      </c>
      <c r="D27" s="100"/>
      <c r="E27" s="98"/>
    </row>
    <row r="28" spans="1:5" x14ac:dyDescent="0.25">
      <c r="A28" s="229" t="s">
        <v>34</v>
      </c>
      <c r="B28" s="15">
        <v>10000000</v>
      </c>
      <c r="C28" s="502"/>
    </row>
    <row r="29" spans="1:5" ht="16.5" thickBot="1" x14ac:dyDescent="0.3">
      <c r="A29" s="552" t="s">
        <v>23</v>
      </c>
      <c r="B29" s="19">
        <v>9604303.7799999993</v>
      </c>
      <c r="C29" s="503"/>
    </row>
    <row r="30" spans="1:5" x14ac:dyDescent="0.25">
      <c r="A30" s="738" t="s">
        <v>24</v>
      </c>
      <c r="B30" s="739"/>
      <c r="C30" s="740"/>
    </row>
    <row r="31" spans="1:5" ht="27" customHeight="1" x14ac:dyDescent="0.25">
      <c r="A31" s="741" t="s">
        <v>318</v>
      </c>
      <c r="B31" s="742"/>
      <c r="C31" s="743"/>
    </row>
    <row r="32" spans="1:5" ht="15" customHeight="1" x14ac:dyDescent="0.25">
      <c r="A32" s="834" t="s">
        <v>398</v>
      </c>
      <c r="B32" s="835"/>
      <c r="C32" s="836"/>
    </row>
    <row r="33" spans="1:10" s="455" customFormat="1" ht="27" customHeight="1" x14ac:dyDescent="0.25">
      <c r="A33" s="784" t="s">
        <v>397</v>
      </c>
      <c r="B33" s="785"/>
      <c r="C33" s="786"/>
    </row>
    <row r="34" spans="1:10" x14ac:dyDescent="0.25">
      <c r="A34" s="784" t="s">
        <v>415</v>
      </c>
      <c r="B34" s="785"/>
      <c r="C34" s="786"/>
      <c r="D34" s="636"/>
      <c r="E34" s="636"/>
      <c r="F34" s="636"/>
      <c r="G34" s="636"/>
      <c r="H34" s="636"/>
      <c r="I34" s="636"/>
      <c r="J34" s="11"/>
    </row>
    <row r="35" spans="1:10" ht="51.75" x14ac:dyDescent="0.25">
      <c r="A35" s="831" t="s">
        <v>410</v>
      </c>
      <c r="B35" s="832"/>
      <c r="C35" s="833"/>
      <c r="D35" s="584" t="s">
        <v>342</v>
      </c>
    </row>
    <row r="36" spans="1:10" ht="39.75" thickBot="1" x14ac:dyDescent="0.3">
      <c r="A36" s="810" t="s">
        <v>396</v>
      </c>
      <c r="B36" s="811"/>
      <c r="C36" s="812"/>
      <c r="D36" s="584" t="s">
        <v>341</v>
      </c>
    </row>
    <row r="39" spans="1:10" x14ac:dyDescent="0.25">
      <c r="B39" s="170"/>
    </row>
    <row r="40" spans="1:10" x14ac:dyDescent="0.25">
      <c r="B40" s="170"/>
    </row>
    <row r="41" spans="1:10" x14ac:dyDescent="0.25">
      <c r="B41" s="170"/>
    </row>
    <row r="42" spans="1:10" x14ac:dyDescent="0.25">
      <c r="B42" s="170"/>
    </row>
    <row r="43" spans="1:10" x14ac:dyDescent="0.25">
      <c r="B43" s="170"/>
    </row>
    <row r="58" spans="5:13" x14ac:dyDescent="0.25">
      <c r="K58" s="12">
        <v>324709460.23000002</v>
      </c>
    </row>
    <row r="59" spans="5:13" ht="37.5" customHeight="1" x14ac:dyDescent="0.25">
      <c r="M59" s="12">
        <v>157</v>
      </c>
    </row>
    <row r="60" spans="5:13" x14ac:dyDescent="0.25">
      <c r="E60" s="12">
        <v>340780549.13</v>
      </c>
      <c r="K60" s="12">
        <v>324709460.23000002</v>
      </c>
    </row>
  </sheetData>
  <mergeCells count="8">
    <mergeCell ref="A1:C1"/>
    <mergeCell ref="A30:C30"/>
    <mergeCell ref="A31:C31"/>
    <mergeCell ref="A36:C36"/>
    <mergeCell ref="A35:C35"/>
    <mergeCell ref="A34:C34"/>
    <mergeCell ref="A33:C33"/>
    <mergeCell ref="A32:C32"/>
  </mergeCells>
  <phoneticPr fontId="20" type="noConversion"/>
  <printOptions horizontalCentered="1" gridLines="1"/>
  <pageMargins left="0.28999999999999998" right="0.28999999999999998" top="0.7" bottom="0.43" header="0.3" footer="0.27"/>
  <pageSetup scale="105" firstPageNumber="8"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dimension ref="A1:M60"/>
  <sheetViews>
    <sheetView tabSelected="1" view="pageBreakPreview" zoomScaleNormal="100" zoomScaleSheetLayoutView="100" workbookViewId="0">
      <selection activeCell="D21" sqref="D21"/>
    </sheetView>
  </sheetViews>
  <sheetFormatPr defaultColWidth="9.140625" defaultRowHeight="15.75" x14ac:dyDescent="0.25"/>
  <cols>
    <col min="1" max="1" width="31.5703125" style="12" customWidth="1"/>
    <col min="2" max="2" width="42" style="12" customWidth="1"/>
    <col min="3" max="3" width="45" style="12" customWidth="1"/>
    <col min="4" max="4" width="15.140625" style="12" bestFit="1" customWidth="1"/>
    <col min="5" max="5" width="12.7109375" style="96" customWidth="1"/>
    <col min="6" max="6" width="9.140625" style="12"/>
    <col min="7" max="7" width="41.42578125" style="12" customWidth="1"/>
    <col min="8" max="10" width="9.140625" style="12"/>
    <col min="11" max="11" width="13.7109375" style="12" bestFit="1" customWidth="1"/>
    <col min="12" max="12" width="9.140625" style="12"/>
    <col min="13" max="13" width="9.28515625" style="12" bestFit="1" customWidth="1"/>
    <col min="14" max="16384" width="9.140625" style="12"/>
  </cols>
  <sheetData>
    <row r="1" spans="1:7" x14ac:dyDescent="0.25">
      <c r="A1" s="735" t="s">
        <v>364</v>
      </c>
      <c r="B1" s="829"/>
      <c r="C1" s="830"/>
    </row>
    <row r="2" spans="1:7" ht="31.5" x14ac:dyDescent="0.25">
      <c r="A2" s="243"/>
      <c r="B2" s="8" t="s">
        <v>76</v>
      </c>
      <c r="C2" s="244" t="s">
        <v>47</v>
      </c>
    </row>
    <row r="3" spans="1:7" x14ac:dyDescent="0.25">
      <c r="A3" s="240" t="s">
        <v>3</v>
      </c>
      <c r="B3" s="15">
        <v>12189505</v>
      </c>
      <c r="C3" s="496">
        <v>75744</v>
      </c>
      <c r="D3" s="11"/>
      <c r="E3" s="11"/>
    </row>
    <row r="4" spans="1:7" x14ac:dyDescent="0.25">
      <c r="A4" s="240" t="s">
        <v>4</v>
      </c>
      <c r="B4" s="15">
        <v>11943231</v>
      </c>
      <c r="C4" s="496">
        <v>76011</v>
      </c>
      <c r="D4" s="11"/>
      <c r="E4" s="28"/>
    </row>
    <row r="5" spans="1:7" x14ac:dyDescent="0.25">
      <c r="A5" s="240" t="s">
        <v>5</v>
      </c>
      <c r="B5" s="15">
        <v>12030027</v>
      </c>
      <c r="C5" s="497">
        <v>75758</v>
      </c>
      <c r="E5" s="28"/>
    </row>
    <row r="6" spans="1:7" x14ac:dyDescent="0.25">
      <c r="A6" s="240" t="s">
        <v>6</v>
      </c>
      <c r="B6" s="15">
        <v>12076682</v>
      </c>
      <c r="C6" s="497">
        <v>76762</v>
      </c>
      <c r="E6" s="28"/>
    </row>
    <row r="7" spans="1:7" x14ac:dyDescent="0.25">
      <c r="A7" s="240" t="s">
        <v>7</v>
      </c>
      <c r="B7" s="15">
        <v>12038797.33</v>
      </c>
      <c r="C7" s="497">
        <v>75872</v>
      </c>
      <c r="E7" s="28"/>
    </row>
    <row r="8" spans="1:7" x14ac:dyDescent="0.25">
      <c r="A8" s="240" t="s">
        <v>8</v>
      </c>
      <c r="B8" s="15">
        <v>12195972.15</v>
      </c>
      <c r="C8" s="497">
        <v>67463</v>
      </c>
      <c r="E8" s="28"/>
    </row>
    <row r="9" spans="1:7" x14ac:dyDescent="0.25">
      <c r="A9" s="240" t="s">
        <v>9</v>
      </c>
      <c r="B9" s="15">
        <v>12065438.67</v>
      </c>
      <c r="C9" s="497">
        <v>71444</v>
      </c>
      <c r="E9" s="28"/>
      <c r="G9" s="95"/>
    </row>
    <row r="10" spans="1:7" x14ac:dyDescent="0.25">
      <c r="A10" s="240" t="s">
        <v>10</v>
      </c>
      <c r="B10" s="15">
        <v>10857580.48</v>
      </c>
      <c r="C10" s="497">
        <v>75182</v>
      </c>
      <c r="E10" s="28"/>
    </row>
    <row r="11" spans="1:7" x14ac:dyDescent="0.25">
      <c r="A11" s="240" t="s">
        <v>11</v>
      </c>
      <c r="B11" s="15">
        <v>11662743.77</v>
      </c>
      <c r="C11" s="497">
        <v>75414</v>
      </c>
      <c r="E11" s="28"/>
      <c r="F11" s="13"/>
    </row>
    <row r="12" spans="1:7" x14ac:dyDescent="0.25">
      <c r="A12" s="240" t="s">
        <v>12</v>
      </c>
      <c r="B12" s="15">
        <v>12122163.470000001</v>
      </c>
      <c r="C12" s="497"/>
      <c r="E12" s="28"/>
      <c r="F12" s="13"/>
    </row>
    <row r="13" spans="1:7" x14ac:dyDescent="0.25">
      <c r="A13" s="240" t="s">
        <v>13</v>
      </c>
      <c r="B13" s="15"/>
      <c r="C13" s="496"/>
      <c r="E13" s="28"/>
    </row>
    <row r="14" spans="1:7" x14ac:dyDescent="0.25">
      <c r="A14" s="242" t="s">
        <v>25</v>
      </c>
      <c r="B14" s="59"/>
      <c r="C14" s="500"/>
      <c r="E14" s="28"/>
    </row>
    <row r="15" spans="1:7" x14ac:dyDescent="0.25">
      <c r="A15" s="245" t="s">
        <v>46</v>
      </c>
      <c r="B15" s="19">
        <v>119182140.87</v>
      </c>
      <c r="C15" s="501">
        <v>74406</v>
      </c>
      <c r="D15" s="97"/>
    </row>
    <row r="16" spans="1:7" x14ac:dyDescent="0.25">
      <c r="A16" s="229" t="s">
        <v>34</v>
      </c>
      <c r="B16" s="618">
        <v>144919479</v>
      </c>
      <c r="C16" s="502">
        <v>76570</v>
      </c>
      <c r="D16" s="98"/>
      <c r="E16" s="160"/>
    </row>
    <row r="17" spans="1:4" ht="16.5" thickBot="1" x14ac:dyDescent="0.3">
      <c r="A17" s="552" t="s">
        <v>23</v>
      </c>
      <c r="B17" s="19">
        <v>25737338.129999995</v>
      </c>
      <c r="C17" s="503"/>
    </row>
    <row r="18" spans="1:4" x14ac:dyDescent="0.25">
      <c r="A18" s="738" t="s">
        <v>24</v>
      </c>
      <c r="B18" s="739"/>
      <c r="C18" s="740"/>
    </row>
    <row r="19" spans="1:4" ht="39" customHeight="1" x14ac:dyDescent="0.25">
      <c r="A19" s="840" t="s">
        <v>175</v>
      </c>
      <c r="B19" s="841"/>
      <c r="C19" s="842"/>
    </row>
    <row r="20" spans="1:4" ht="24.75" customHeight="1" x14ac:dyDescent="0.25">
      <c r="A20" s="837" t="s">
        <v>176</v>
      </c>
      <c r="B20" s="838"/>
      <c r="C20" s="839"/>
    </row>
    <row r="21" spans="1:4" x14ac:dyDescent="0.25">
      <c r="A21" s="837" t="s">
        <v>129</v>
      </c>
      <c r="B21" s="838"/>
      <c r="C21" s="839"/>
    </row>
    <row r="22" spans="1:4" ht="16.5" thickBot="1" x14ac:dyDescent="0.3">
      <c r="A22" s="787" t="s">
        <v>416</v>
      </c>
      <c r="B22" s="788"/>
      <c r="C22" s="789"/>
      <c r="D22" s="584"/>
    </row>
    <row r="23" spans="1:4" x14ac:dyDescent="0.25">
      <c r="A23" s="843"/>
      <c r="B23" s="843"/>
      <c r="C23" s="843"/>
    </row>
    <row r="25" spans="1:4" x14ac:dyDescent="0.25">
      <c r="A25" s="760"/>
      <c r="B25" s="760"/>
      <c r="C25" s="760"/>
    </row>
    <row r="29" spans="1:4" x14ac:dyDescent="0.25">
      <c r="A29" s="345"/>
      <c r="B29" s="169"/>
    </row>
    <row r="30" spans="1:4" x14ac:dyDescent="0.25">
      <c r="A30" s="345"/>
      <c r="B30" s="169"/>
    </row>
    <row r="31" spans="1:4" x14ac:dyDescent="0.25">
      <c r="B31" s="169"/>
    </row>
    <row r="32" spans="1:4" x14ac:dyDescent="0.25">
      <c r="B32" s="169"/>
    </row>
    <row r="33" spans="2:2" x14ac:dyDescent="0.25">
      <c r="B33" s="169"/>
    </row>
    <row r="35" spans="2:2" x14ac:dyDescent="0.25">
      <c r="B35" s="548"/>
    </row>
    <row r="36" spans="2:2" x14ac:dyDescent="0.25">
      <c r="B36" s="548"/>
    </row>
    <row r="58" spans="5:13" x14ac:dyDescent="0.25">
      <c r="K58" s="12">
        <v>324709460.23000002</v>
      </c>
    </row>
    <row r="59" spans="5:13" x14ac:dyDescent="0.25">
      <c r="M59" s="12">
        <v>157</v>
      </c>
    </row>
    <row r="60" spans="5:13" ht="37.5" customHeight="1" x14ac:dyDescent="0.25">
      <c r="E60" s="96">
        <v>340780549.13</v>
      </c>
      <c r="K60" s="12">
        <v>324709460.23000002</v>
      </c>
    </row>
  </sheetData>
  <mergeCells count="8">
    <mergeCell ref="A21:C21"/>
    <mergeCell ref="A1:C1"/>
    <mergeCell ref="A18:C18"/>
    <mergeCell ref="A19:C19"/>
    <mergeCell ref="A25:C25"/>
    <mergeCell ref="A20:C20"/>
    <mergeCell ref="A22:C22"/>
    <mergeCell ref="A23:C23"/>
  </mergeCells>
  <phoneticPr fontId="20"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B2:R117"/>
  <sheetViews>
    <sheetView workbookViewId="0"/>
  </sheetViews>
  <sheetFormatPr defaultColWidth="36.7109375" defaultRowHeight="15.75" x14ac:dyDescent="0.2"/>
  <cols>
    <col min="1" max="1" width="16.5703125" style="390" customWidth="1"/>
    <col min="2" max="2" width="19.140625" style="390" customWidth="1"/>
    <col min="3" max="3" width="13" style="390" customWidth="1"/>
    <col min="4" max="4" width="36.7109375" style="390"/>
    <col min="5" max="5" width="14.42578125" style="424" bestFit="1" customWidth="1"/>
    <col min="6" max="8" width="15.7109375" style="424" bestFit="1" customWidth="1"/>
    <col min="9" max="9" width="14.28515625" style="424" bestFit="1" customWidth="1"/>
    <col min="10" max="10" width="15.7109375" style="424" bestFit="1" customWidth="1"/>
    <col min="11" max="11" width="14.28515625" style="424" bestFit="1" customWidth="1"/>
    <col min="12" max="16" width="15.7109375" style="424" bestFit="1" customWidth="1"/>
    <col min="17" max="17" width="18.7109375" style="424" customWidth="1"/>
    <col min="18" max="16384" width="36.7109375" style="390"/>
  </cols>
  <sheetData>
    <row r="2" spans="2:18" ht="16.5" thickBot="1" x14ac:dyDescent="0.25">
      <c r="B2" s="844" t="s">
        <v>297</v>
      </c>
      <c r="C2" s="844"/>
      <c r="D2" s="844"/>
      <c r="E2" s="844"/>
      <c r="F2" s="844"/>
      <c r="G2" s="844"/>
      <c r="H2" s="844"/>
      <c r="I2" s="844"/>
      <c r="J2" s="844"/>
      <c r="K2" s="844"/>
      <c r="L2" s="844"/>
      <c r="M2" s="844"/>
      <c r="N2" s="844"/>
      <c r="O2" s="844"/>
      <c r="P2" s="844"/>
      <c r="Q2" s="844"/>
    </row>
    <row r="3" spans="2:18" ht="16.5" thickBot="1" x14ac:dyDescent="0.25">
      <c r="B3" s="391" t="s">
        <v>298</v>
      </c>
      <c r="C3" s="845" t="s">
        <v>48</v>
      </c>
      <c r="D3" s="846"/>
      <c r="E3" s="392">
        <v>41456</v>
      </c>
      <c r="F3" s="393">
        <v>41487</v>
      </c>
      <c r="G3" s="393">
        <v>41518</v>
      </c>
      <c r="H3" s="393">
        <v>41548</v>
      </c>
      <c r="I3" s="393">
        <v>41579</v>
      </c>
      <c r="J3" s="393">
        <v>41609</v>
      </c>
      <c r="K3" s="393">
        <v>41640</v>
      </c>
      <c r="L3" s="393">
        <v>41671</v>
      </c>
      <c r="M3" s="393">
        <v>41699</v>
      </c>
      <c r="N3" s="393">
        <v>41730</v>
      </c>
      <c r="O3" s="393">
        <v>41760</v>
      </c>
      <c r="P3" s="434">
        <v>41791</v>
      </c>
      <c r="Q3" s="425" t="s">
        <v>299</v>
      </c>
      <c r="R3" s="395"/>
    </row>
    <row r="4" spans="2:18" x14ac:dyDescent="0.2">
      <c r="B4" s="847" t="s">
        <v>300</v>
      </c>
      <c r="C4" s="850" t="s">
        <v>301</v>
      </c>
      <c r="D4" s="396" t="s">
        <v>49</v>
      </c>
      <c r="E4" s="397"/>
      <c r="F4" s="397"/>
      <c r="G4" s="397"/>
      <c r="H4" s="397"/>
      <c r="I4" s="397"/>
      <c r="J4" s="397"/>
      <c r="K4" s="397">
        <f>[7]Exhibit!K4</f>
        <v>4608875.58</v>
      </c>
      <c r="L4" s="397">
        <f>[7]Exhibit!L4</f>
        <v>8275700.4000000004</v>
      </c>
      <c r="M4" s="397">
        <f>[7]Exhibit!M4</f>
        <v>9576439.0700000022</v>
      </c>
      <c r="N4" s="397">
        <f>[7]Exhibit!N4</f>
        <v>12204044.729999999</v>
      </c>
      <c r="O4" s="397">
        <f>[7]Exhibit!O4</f>
        <v>9470911.6600000001</v>
      </c>
      <c r="P4" s="435">
        <f>[7]Exhibit!P4</f>
        <v>13799106.719999999</v>
      </c>
      <c r="Q4" s="426">
        <f>SUM(E4:P4)</f>
        <v>57935078.159999996</v>
      </c>
      <c r="R4" s="395" t="b">
        <f>Q4=[7]Exhibit!Q4</f>
        <v>1</v>
      </c>
    </row>
    <row r="5" spans="2:18" x14ac:dyDescent="0.2">
      <c r="B5" s="848"/>
      <c r="C5" s="851"/>
      <c r="D5" s="399" t="s">
        <v>302</v>
      </c>
      <c r="E5" s="400"/>
      <c r="F5" s="400"/>
      <c r="G5" s="400"/>
      <c r="H5" s="400"/>
      <c r="I5" s="400"/>
      <c r="J5" s="400"/>
      <c r="K5" s="400">
        <f>[7]Exhibit!K5</f>
        <v>1270.6199999999999</v>
      </c>
      <c r="L5" s="400">
        <f>[7]Exhibit!L5</f>
        <v>4689.99</v>
      </c>
      <c r="M5" s="400">
        <f>[7]Exhibit!M5</f>
        <v>11120.67</v>
      </c>
      <c r="N5" s="400">
        <f>[7]Exhibit!N5</f>
        <v>12772.1</v>
      </c>
      <c r="O5" s="400">
        <f>[7]Exhibit!O5</f>
        <v>7778.6</v>
      </c>
      <c r="P5" s="436">
        <f>[7]Exhibit!P5</f>
        <v>9347.32</v>
      </c>
      <c r="Q5" s="427">
        <f t="shared" ref="Q5:Q12" si="0">SUM(E5:P5)</f>
        <v>46979.299999999996</v>
      </c>
      <c r="R5" s="395" t="b">
        <f>Q5=[7]Exhibit!Q5</f>
        <v>1</v>
      </c>
    </row>
    <row r="6" spans="2:18" x14ac:dyDescent="0.2">
      <c r="B6" s="848"/>
      <c r="C6" s="851"/>
      <c r="D6" s="399" t="s">
        <v>67</v>
      </c>
      <c r="E6" s="400"/>
      <c r="F6" s="400"/>
      <c r="G6" s="400"/>
      <c r="H6" s="400"/>
      <c r="I6" s="400"/>
      <c r="J6" s="400"/>
      <c r="K6" s="400">
        <f>[7]Exhibit!K6</f>
        <v>0</v>
      </c>
      <c r="L6" s="400">
        <f>[7]Exhibit!L6</f>
        <v>0</v>
      </c>
      <c r="M6" s="400">
        <f>[7]Exhibit!M6</f>
        <v>0</v>
      </c>
      <c r="N6" s="400">
        <f>[7]Exhibit!N6</f>
        <v>0</v>
      </c>
      <c r="O6" s="400">
        <f>[7]Exhibit!O6</f>
        <v>0</v>
      </c>
      <c r="P6" s="436">
        <f>[7]Exhibit!P6</f>
        <v>0</v>
      </c>
      <c r="Q6" s="427">
        <f t="shared" si="0"/>
        <v>0</v>
      </c>
      <c r="R6" s="395" t="b">
        <f>Q6=[7]Exhibit!Q6</f>
        <v>1</v>
      </c>
    </row>
    <row r="7" spans="2:18" ht="16.5" thickBot="1" x14ac:dyDescent="0.25">
      <c r="B7" s="848"/>
      <c r="C7" s="851"/>
      <c r="D7" s="402" t="s">
        <v>303</v>
      </c>
      <c r="E7" s="403"/>
      <c r="F7" s="403"/>
      <c r="G7" s="403"/>
      <c r="H7" s="403"/>
      <c r="I7" s="403"/>
      <c r="J7" s="403"/>
      <c r="K7" s="403">
        <f>[7]Exhibit!K7</f>
        <v>323992.44</v>
      </c>
      <c r="L7" s="403">
        <f>[7]Exhibit!L7</f>
        <v>310333.81</v>
      </c>
      <c r="M7" s="403">
        <f>[7]Exhibit!M7</f>
        <v>334712.8</v>
      </c>
      <c r="N7" s="403">
        <f>[7]Exhibit!N7</f>
        <v>361267.98</v>
      </c>
      <c r="O7" s="403">
        <f>[7]Exhibit!O7</f>
        <v>361084.46</v>
      </c>
      <c r="P7" s="437">
        <f>[7]Exhibit!P7</f>
        <v>409296.9</v>
      </c>
      <c r="Q7" s="428">
        <f t="shared" si="0"/>
        <v>2100688.39</v>
      </c>
      <c r="R7" s="395" t="b">
        <f>Q7=[7]Exhibit!Q7</f>
        <v>1</v>
      </c>
    </row>
    <row r="8" spans="2:18" ht="17.25" hidden="1" thickTop="1" thickBot="1" x14ac:dyDescent="0.25">
      <c r="B8" s="848"/>
      <c r="C8" s="851"/>
      <c r="D8" s="405" t="s">
        <v>72</v>
      </c>
      <c r="E8" s="406"/>
      <c r="F8" s="406"/>
      <c r="G8" s="406"/>
      <c r="H8" s="406"/>
      <c r="I8" s="406"/>
      <c r="J8" s="406"/>
      <c r="K8" s="406">
        <v>0</v>
      </c>
      <c r="L8" s="406">
        <v>0</v>
      </c>
      <c r="M8" s="406">
        <v>0</v>
      </c>
      <c r="N8" s="406">
        <v>0</v>
      </c>
      <c r="O8" s="406">
        <v>0</v>
      </c>
      <c r="P8" s="438">
        <v>0</v>
      </c>
      <c r="Q8" s="429">
        <f t="shared" si="0"/>
        <v>0</v>
      </c>
      <c r="R8" s="395" t="b">
        <f>Q8=[7]Exhibit!Q8</f>
        <v>1</v>
      </c>
    </row>
    <row r="9" spans="2:18" ht="17.25" thickTop="1" thickBot="1" x14ac:dyDescent="0.25">
      <c r="B9" s="848"/>
      <c r="C9" s="852"/>
      <c r="D9" s="407" t="s">
        <v>304</v>
      </c>
      <c r="E9" s="408"/>
      <c r="F9" s="408"/>
      <c r="G9" s="408"/>
      <c r="H9" s="408"/>
      <c r="I9" s="408"/>
      <c r="J9" s="408"/>
      <c r="K9" s="408">
        <f t="shared" ref="K9:P9" si="1">SUM(K4:K8)</f>
        <v>4934138.6400000006</v>
      </c>
      <c r="L9" s="408">
        <f t="shared" si="1"/>
        <v>8590724.2000000011</v>
      </c>
      <c r="M9" s="408">
        <f t="shared" si="1"/>
        <v>9922272.5400000028</v>
      </c>
      <c r="N9" s="408">
        <f t="shared" si="1"/>
        <v>12578084.809999999</v>
      </c>
      <c r="O9" s="408">
        <f t="shared" si="1"/>
        <v>9839774.7200000007</v>
      </c>
      <c r="P9" s="439">
        <f t="shared" si="1"/>
        <v>14217750.939999999</v>
      </c>
      <c r="Q9" s="430">
        <f t="shared" si="0"/>
        <v>60082745.849999994</v>
      </c>
      <c r="R9" s="395" t="b">
        <f>Q9=[7]Exhibit!Q9</f>
        <v>1</v>
      </c>
    </row>
    <row r="10" spans="2:18" x14ac:dyDescent="0.2">
      <c r="B10" s="848"/>
      <c r="C10" s="853" t="s">
        <v>305</v>
      </c>
      <c r="D10" s="854"/>
      <c r="E10" s="409"/>
      <c r="F10" s="409"/>
      <c r="G10" s="409"/>
      <c r="H10" s="409"/>
      <c r="I10" s="409"/>
      <c r="J10" s="409"/>
      <c r="K10" s="400">
        <f>[7]Exhibit!K10</f>
        <v>0</v>
      </c>
      <c r="L10" s="409">
        <f>[7]Exhibit!L10</f>
        <v>0</v>
      </c>
      <c r="M10" s="409">
        <f>[7]Exhibit!M10</f>
        <v>0</v>
      </c>
      <c r="N10" s="409">
        <f>[7]Exhibit!N10</f>
        <v>0</v>
      </c>
      <c r="O10" s="409">
        <f>[7]Exhibit!O10</f>
        <v>0</v>
      </c>
      <c r="P10" s="440">
        <f>[7]Exhibit!P10</f>
        <v>0</v>
      </c>
      <c r="Q10" s="431">
        <f t="shared" si="0"/>
        <v>0</v>
      </c>
      <c r="R10" s="395" t="b">
        <f>Q10=[7]Exhibit!Q10</f>
        <v>1</v>
      </c>
    </row>
    <row r="11" spans="2:18" ht="16.5" thickBot="1" x14ac:dyDescent="0.25">
      <c r="B11" s="848"/>
      <c r="C11" s="855" t="s">
        <v>306</v>
      </c>
      <c r="D11" s="856"/>
      <c r="E11" s="403"/>
      <c r="F11" s="403"/>
      <c r="G11" s="403"/>
      <c r="H11" s="403"/>
      <c r="I11" s="403"/>
      <c r="J11" s="403"/>
      <c r="K11" s="403">
        <f>[7]Exhibit!K11</f>
        <v>0</v>
      </c>
      <c r="L11" s="403">
        <f>[7]Exhibit!L11</f>
        <v>0</v>
      </c>
      <c r="M11" s="403">
        <f>[7]Exhibit!M11</f>
        <v>394.5</v>
      </c>
      <c r="N11" s="403">
        <f>[7]Exhibit!N11</f>
        <v>0</v>
      </c>
      <c r="O11" s="403">
        <f>[7]Exhibit!O11</f>
        <v>0</v>
      </c>
      <c r="P11" s="437">
        <f>[7]Exhibit!P11</f>
        <v>52.28</v>
      </c>
      <c r="Q11" s="428">
        <f t="shared" si="0"/>
        <v>446.78</v>
      </c>
      <c r="R11" s="395" t="b">
        <f>Q11=[7]Exhibit!Q11</f>
        <v>1</v>
      </c>
    </row>
    <row r="12" spans="2:18" ht="16.5" thickTop="1" x14ac:dyDescent="0.2">
      <c r="B12" s="848"/>
      <c r="C12" s="853" t="s">
        <v>146</v>
      </c>
      <c r="D12" s="854"/>
      <c r="E12" s="411"/>
      <c r="F12" s="411"/>
      <c r="G12" s="411"/>
      <c r="H12" s="411"/>
      <c r="I12" s="411"/>
      <c r="J12" s="411"/>
      <c r="K12" s="411">
        <f t="shared" ref="K12:P12" si="2">K9+K10+K11</f>
        <v>4934138.6400000006</v>
      </c>
      <c r="L12" s="411">
        <f t="shared" si="2"/>
        <v>8590724.2000000011</v>
      </c>
      <c r="M12" s="411">
        <f t="shared" si="2"/>
        <v>9922667.0400000028</v>
      </c>
      <c r="N12" s="411">
        <f t="shared" si="2"/>
        <v>12578084.809999999</v>
      </c>
      <c r="O12" s="411">
        <f t="shared" si="2"/>
        <v>9839774.7200000007</v>
      </c>
      <c r="P12" s="441">
        <f t="shared" si="2"/>
        <v>14217803.219999999</v>
      </c>
      <c r="Q12" s="431">
        <f t="shared" si="0"/>
        <v>60083192.629999995</v>
      </c>
      <c r="R12" s="395" t="b">
        <f>Q12=[7]Exhibit!Q12</f>
        <v>1</v>
      </c>
    </row>
    <row r="13" spans="2:18" x14ac:dyDescent="0.2">
      <c r="B13" s="848"/>
      <c r="C13" s="857" t="s">
        <v>112</v>
      </c>
      <c r="D13" s="858"/>
      <c r="E13" s="412"/>
      <c r="F13" s="412"/>
      <c r="G13" s="412"/>
      <c r="H13" s="412"/>
      <c r="I13" s="412"/>
      <c r="J13" s="412"/>
      <c r="K13" s="412">
        <f>[7]Exhibit!K13</f>
        <v>38413</v>
      </c>
      <c r="L13" s="412">
        <f>[7]Exhibit!L13</f>
        <v>40465</v>
      </c>
      <c r="M13" s="412">
        <f>[7]Exhibit!M13</f>
        <v>44348</v>
      </c>
      <c r="N13" s="412">
        <f>[7]Exhibit!N13</f>
        <v>47215</v>
      </c>
      <c r="O13" s="412">
        <f>[7]Exhibit!O13</f>
        <v>48526</v>
      </c>
      <c r="P13" s="442">
        <f>[7]Exhibit!P13</f>
        <v>51279</v>
      </c>
      <c r="Q13" s="432">
        <f>AVERAGE(E13:P13)</f>
        <v>45041</v>
      </c>
      <c r="R13" s="395" t="b">
        <f>Q13=[7]Exhibit!Q13</f>
        <v>1</v>
      </c>
    </row>
    <row r="14" spans="2:18" ht="16.5" thickBot="1" x14ac:dyDescent="0.25">
      <c r="B14" s="849"/>
      <c r="C14" s="859" t="s">
        <v>307</v>
      </c>
      <c r="D14" s="860"/>
      <c r="E14" s="414"/>
      <c r="F14" s="415"/>
      <c r="G14" s="415"/>
      <c r="H14" s="415"/>
      <c r="I14" s="415"/>
      <c r="J14" s="415"/>
      <c r="K14" s="416">
        <f>[7]Exhibit!K14</f>
        <v>128.44970817171273</v>
      </c>
      <c r="L14" s="416">
        <f>[7]Exhibit!L14</f>
        <v>212.30011614975908</v>
      </c>
      <c r="M14" s="416">
        <f>[7]Exhibit!M14</f>
        <v>223.74553621358353</v>
      </c>
      <c r="N14" s="416">
        <f>[7]Exhibit!N14</f>
        <v>266.40018659324363</v>
      </c>
      <c r="O14" s="416">
        <f>[7]Exhibit!O14</f>
        <v>202.77324980422867</v>
      </c>
      <c r="P14" s="443">
        <f>[7]Exhibit!P14</f>
        <v>277.26365997776867</v>
      </c>
      <c r="Q14" s="445">
        <f>Q12/Q13</f>
        <v>1333.96666659266</v>
      </c>
      <c r="R14" s="395" t="b">
        <f>Q14=[7]Exhibit!Q14</f>
        <v>1</v>
      </c>
    </row>
    <row r="15" spans="2:18" ht="15.75" customHeight="1" x14ac:dyDescent="0.2">
      <c r="B15" s="847" t="s">
        <v>155</v>
      </c>
      <c r="C15" s="850" t="s">
        <v>301</v>
      </c>
      <c r="D15" s="396" t="s">
        <v>49</v>
      </c>
      <c r="E15" s="397"/>
      <c r="F15" s="397"/>
      <c r="G15" s="397"/>
      <c r="H15" s="397"/>
      <c r="I15" s="397"/>
      <c r="J15" s="397"/>
      <c r="K15" s="397">
        <f>[7]Exhibit!K15</f>
        <v>11457167.18</v>
      </c>
      <c r="L15" s="397">
        <f>[7]Exhibit!L15</f>
        <v>31284953.710000005</v>
      </c>
      <c r="M15" s="397">
        <f>[7]Exhibit!M15</f>
        <v>42431585.569999993</v>
      </c>
      <c r="N15" s="397">
        <f>[7]Exhibit!N15</f>
        <v>61804746.140000001</v>
      </c>
      <c r="O15" s="397">
        <f>[7]Exhibit!O15</f>
        <v>50688450.969999999</v>
      </c>
      <c r="P15" s="435">
        <f>[7]Exhibit!P15</f>
        <v>72888903.719999984</v>
      </c>
      <c r="Q15" s="426">
        <f>SUM(E15:P15)</f>
        <v>270555807.28999996</v>
      </c>
      <c r="R15" s="395" t="b">
        <f>Q15=[7]Exhibit!Q15</f>
        <v>1</v>
      </c>
    </row>
    <row r="16" spans="2:18" x14ac:dyDescent="0.2">
      <c r="B16" s="848"/>
      <c r="C16" s="851"/>
      <c r="D16" s="399" t="s">
        <v>302</v>
      </c>
      <c r="E16" s="400"/>
      <c r="F16" s="400"/>
      <c r="G16" s="400"/>
      <c r="H16" s="400"/>
      <c r="I16" s="400"/>
      <c r="J16" s="400"/>
      <c r="K16" s="400">
        <f>[7]Exhibit!K16</f>
        <v>2922.01</v>
      </c>
      <c r="L16" s="400">
        <f>[7]Exhibit!L16</f>
        <v>117029.5</v>
      </c>
      <c r="M16" s="400">
        <f>[7]Exhibit!M16</f>
        <v>106569.28</v>
      </c>
      <c r="N16" s="400">
        <f>[7]Exhibit!N16</f>
        <v>244856.18000000002</v>
      </c>
      <c r="O16" s="400">
        <f>[7]Exhibit!O16</f>
        <v>185379.5</v>
      </c>
      <c r="P16" s="436">
        <f>[7]Exhibit!P16</f>
        <v>190215.86000000002</v>
      </c>
      <c r="Q16" s="427">
        <f t="shared" ref="Q16:Q23" si="3">SUM(E16:P16)</f>
        <v>846972.33</v>
      </c>
      <c r="R16" s="395" t="b">
        <f>Q16=[7]Exhibit!Q16</f>
        <v>1</v>
      </c>
    </row>
    <row r="17" spans="2:18" x14ac:dyDescent="0.2">
      <c r="B17" s="848"/>
      <c r="C17" s="851"/>
      <c r="D17" s="399" t="s">
        <v>67</v>
      </c>
      <c r="E17" s="400"/>
      <c r="F17" s="400"/>
      <c r="G17" s="400"/>
      <c r="H17" s="400"/>
      <c r="I17" s="400"/>
      <c r="J17" s="400"/>
      <c r="K17" s="400">
        <f>[7]Exhibit!K17</f>
        <v>19586.48</v>
      </c>
      <c r="L17" s="400">
        <f>[7]Exhibit!L17</f>
        <v>37637.730000000003</v>
      </c>
      <c r="M17" s="400">
        <f>[7]Exhibit!M17</f>
        <v>67601.39</v>
      </c>
      <c r="N17" s="400">
        <f>[7]Exhibit!N17</f>
        <v>107855.37</v>
      </c>
      <c r="O17" s="400">
        <f>[7]Exhibit!O17</f>
        <v>66138.33</v>
      </c>
      <c r="P17" s="436">
        <f>[7]Exhibit!P17</f>
        <v>109977.88</v>
      </c>
      <c r="Q17" s="427">
        <f t="shared" si="3"/>
        <v>408797.18</v>
      </c>
      <c r="R17" s="395" t="b">
        <f>Q17=[7]Exhibit!Q17</f>
        <v>1</v>
      </c>
    </row>
    <row r="18" spans="2:18" ht="16.5" thickBot="1" x14ac:dyDescent="0.25">
      <c r="B18" s="848"/>
      <c r="C18" s="851"/>
      <c r="D18" s="402" t="s">
        <v>303</v>
      </c>
      <c r="E18" s="403"/>
      <c r="F18" s="403"/>
      <c r="G18" s="403"/>
      <c r="H18" s="403"/>
      <c r="I18" s="403"/>
      <c r="J18" s="403"/>
      <c r="K18" s="403">
        <f>[7]Exhibit!K18</f>
        <v>662801.59</v>
      </c>
      <c r="L18" s="403">
        <f>[7]Exhibit!L18</f>
        <v>642036.63</v>
      </c>
      <c r="M18" s="403">
        <f>[7]Exhibit!M18</f>
        <v>616427.04</v>
      </c>
      <c r="N18" s="403">
        <f>[7]Exhibit!N18</f>
        <v>763576.75</v>
      </c>
      <c r="O18" s="403">
        <f>[7]Exhibit!O18</f>
        <v>925348.75</v>
      </c>
      <c r="P18" s="437">
        <f>[7]Exhibit!P18</f>
        <v>1137891.22</v>
      </c>
      <c r="Q18" s="428">
        <f t="shared" si="3"/>
        <v>4748081.9799999995</v>
      </c>
      <c r="R18" s="395" t="b">
        <f>Q18=[7]Exhibit!Q18</f>
        <v>1</v>
      </c>
    </row>
    <row r="19" spans="2:18" ht="17.25" hidden="1" thickTop="1" thickBot="1" x14ac:dyDescent="0.25">
      <c r="B19" s="848"/>
      <c r="C19" s="851"/>
      <c r="D19" s="405" t="s">
        <v>72</v>
      </c>
      <c r="E19" s="406"/>
      <c r="F19" s="406"/>
      <c r="G19" s="406"/>
      <c r="H19" s="406"/>
      <c r="I19" s="406"/>
      <c r="J19" s="406"/>
      <c r="K19" s="406">
        <v>0</v>
      </c>
      <c r="L19" s="406">
        <v>0</v>
      </c>
      <c r="M19" s="406">
        <v>0</v>
      </c>
      <c r="N19" s="406">
        <v>0</v>
      </c>
      <c r="O19" s="406">
        <v>0</v>
      </c>
      <c r="P19" s="438">
        <v>0</v>
      </c>
      <c r="Q19" s="429">
        <f t="shared" si="3"/>
        <v>0</v>
      </c>
      <c r="R19" s="395" t="b">
        <f>Q19=[7]Exhibit!Q19</f>
        <v>1</v>
      </c>
    </row>
    <row r="20" spans="2:18" ht="17.25" thickTop="1" thickBot="1" x14ac:dyDescent="0.25">
      <c r="B20" s="848"/>
      <c r="C20" s="852"/>
      <c r="D20" s="418" t="s">
        <v>304</v>
      </c>
      <c r="E20" s="419"/>
      <c r="F20" s="419"/>
      <c r="G20" s="419"/>
      <c r="H20" s="419"/>
      <c r="I20" s="419"/>
      <c r="J20" s="419"/>
      <c r="K20" s="408">
        <f t="shared" ref="K20:P20" si="4">SUM(K15:K19)</f>
        <v>12142477.26</v>
      </c>
      <c r="L20" s="408">
        <f t="shared" si="4"/>
        <v>32081657.570000004</v>
      </c>
      <c r="M20" s="408">
        <f t="shared" si="4"/>
        <v>43222183.279999994</v>
      </c>
      <c r="N20" s="408">
        <f t="shared" si="4"/>
        <v>62921034.439999998</v>
      </c>
      <c r="O20" s="408">
        <f t="shared" si="4"/>
        <v>51865317.549999997</v>
      </c>
      <c r="P20" s="439">
        <f t="shared" si="4"/>
        <v>74326988.679999977</v>
      </c>
      <c r="Q20" s="433">
        <f t="shared" si="3"/>
        <v>276559658.77999997</v>
      </c>
      <c r="R20" s="395" t="b">
        <f>Q20=[7]Exhibit!Q20</f>
        <v>1</v>
      </c>
    </row>
    <row r="21" spans="2:18" x14ac:dyDescent="0.2">
      <c r="B21" s="848"/>
      <c r="C21" s="853" t="s">
        <v>305</v>
      </c>
      <c r="D21" s="854"/>
      <c r="E21" s="409"/>
      <c r="F21" s="409"/>
      <c r="G21" s="409"/>
      <c r="H21" s="409"/>
      <c r="I21" s="409"/>
      <c r="J21" s="409"/>
      <c r="K21" s="400">
        <f>[7]Exhibit!K21</f>
        <v>0</v>
      </c>
      <c r="L21" s="409">
        <f>[7]Exhibit!L21</f>
        <v>0</v>
      </c>
      <c r="M21" s="409">
        <f>[7]Exhibit!M21</f>
        <v>0</v>
      </c>
      <c r="N21" s="409">
        <f>[7]Exhibit!N21</f>
        <v>0</v>
      </c>
      <c r="O21" s="409">
        <f>[7]Exhibit!O21</f>
        <v>0</v>
      </c>
      <c r="P21" s="440">
        <f>[7]Exhibit!P21</f>
        <v>0</v>
      </c>
      <c r="Q21" s="431">
        <f t="shared" si="3"/>
        <v>0</v>
      </c>
      <c r="R21" s="395" t="b">
        <f>Q21=[7]Exhibit!Q21</f>
        <v>1</v>
      </c>
    </row>
    <row r="22" spans="2:18" ht="16.5" thickBot="1" x14ac:dyDescent="0.25">
      <c r="B22" s="848"/>
      <c r="C22" s="855" t="s">
        <v>306</v>
      </c>
      <c r="D22" s="856"/>
      <c r="E22" s="403"/>
      <c r="F22" s="403"/>
      <c r="G22" s="403"/>
      <c r="H22" s="403"/>
      <c r="I22" s="403"/>
      <c r="J22" s="403"/>
      <c r="K22" s="403">
        <f>[7]Exhibit!K22</f>
        <v>4944.5200000000004</v>
      </c>
      <c r="L22" s="403">
        <f>[7]Exhibit!L22</f>
        <v>15261.19</v>
      </c>
      <c r="M22" s="403">
        <f>[7]Exhibit!M22</f>
        <v>29370.18</v>
      </c>
      <c r="N22" s="403">
        <f>[7]Exhibit!N22</f>
        <v>39866.51</v>
      </c>
      <c r="O22" s="403">
        <f>[7]Exhibit!O22</f>
        <v>72776.710000000006</v>
      </c>
      <c r="P22" s="437">
        <f>[7]Exhibit!P22</f>
        <v>97462.63</v>
      </c>
      <c r="Q22" s="428">
        <f t="shared" si="3"/>
        <v>259681.74</v>
      </c>
      <c r="R22" s="395" t="b">
        <f>Q22=[7]Exhibit!Q22</f>
        <v>1</v>
      </c>
    </row>
    <row r="23" spans="2:18" ht="16.5" thickTop="1" x14ac:dyDescent="0.2">
      <c r="B23" s="848"/>
      <c r="C23" s="853" t="s">
        <v>146</v>
      </c>
      <c r="D23" s="854"/>
      <c r="E23" s="411"/>
      <c r="F23" s="411"/>
      <c r="G23" s="411"/>
      <c r="H23" s="411"/>
      <c r="I23" s="411"/>
      <c r="J23" s="411"/>
      <c r="K23" s="411">
        <f t="shared" ref="K23:P23" si="5">K20+K21+K22</f>
        <v>12147421.779999999</v>
      </c>
      <c r="L23" s="411">
        <f t="shared" si="5"/>
        <v>32096918.760000005</v>
      </c>
      <c r="M23" s="411">
        <f t="shared" si="5"/>
        <v>43251553.459999993</v>
      </c>
      <c r="N23" s="411">
        <f t="shared" si="5"/>
        <v>62960900.949999996</v>
      </c>
      <c r="O23" s="411">
        <f t="shared" si="5"/>
        <v>51938094.259999998</v>
      </c>
      <c r="P23" s="441">
        <f t="shared" si="5"/>
        <v>74424451.309999973</v>
      </c>
      <c r="Q23" s="431">
        <f t="shared" si="3"/>
        <v>276819340.51999998</v>
      </c>
      <c r="R23" s="395" t="b">
        <f>Q23=[7]Exhibit!Q23</f>
        <v>1</v>
      </c>
    </row>
    <row r="24" spans="2:18" x14ac:dyDescent="0.2">
      <c r="B24" s="848"/>
      <c r="C24" s="857" t="s">
        <v>112</v>
      </c>
      <c r="D24" s="858"/>
      <c r="E24" s="412"/>
      <c r="F24" s="412"/>
      <c r="G24" s="412"/>
      <c r="H24" s="412"/>
      <c r="I24" s="412"/>
      <c r="J24" s="412"/>
      <c r="K24" s="412">
        <f>[7]Exhibit!K24</f>
        <v>75174</v>
      </c>
      <c r="L24" s="412">
        <f>[7]Exhibit!L24</f>
        <v>82124</v>
      </c>
      <c r="M24" s="412">
        <f>[7]Exhibit!M24</f>
        <v>91371</v>
      </c>
      <c r="N24" s="412">
        <f>[7]Exhibit!N24</f>
        <v>114290</v>
      </c>
      <c r="O24" s="412">
        <f>[7]Exhibit!O24</f>
        <v>126063</v>
      </c>
      <c r="P24" s="442">
        <f>[7]Exhibit!P24</f>
        <v>144174</v>
      </c>
      <c r="Q24" s="432">
        <f>AVERAGE(E24:P24)</f>
        <v>105532.66666666667</v>
      </c>
      <c r="R24" s="395" t="b">
        <f>Q24=[7]Exhibit!Q24</f>
        <v>1</v>
      </c>
    </row>
    <row r="25" spans="2:18" ht="16.5" thickBot="1" x14ac:dyDescent="0.25">
      <c r="B25" s="849"/>
      <c r="C25" s="859" t="s">
        <v>307</v>
      </c>
      <c r="D25" s="860"/>
      <c r="E25" s="414"/>
      <c r="F25" s="415"/>
      <c r="G25" s="415"/>
      <c r="H25" s="415"/>
      <c r="I25" s="415"/>
      <c r="J25" s="415"/>
      <c r="K25" s="416">
        <f>[7]Exhibit!K25</f>
        <v>161.59073323223453</v>
      </c>
      <c r="L25" s="416">
        <f>[7]Exhibit!L25</f>
        <v>390.83482002825002</v>
      </c>
      <c r="M25" s="416">
        <f>[7]Exhibit!M25</f>
        <v>473.36193606286452</v>
      </c>
      <c r="N25" s="416">
        <f>[7]Exhibit!N25</f>
        <v>550.8872250415609</v>
      </c>
      <c r="O25" s="416">
        <f>[7]Exhibit!O25</f>
        <v>412.00109675321067</v>
      </c>
      <c r="P25" s="443">
        <f>[7]Exhibit!P25</f>
        <v>516.21271040548208</v>
      </c>
      <c r="Q25" s="445">
        <f>Q23/Q24</f>
        <v>2623.0678069981486</v>
      </c>
      <c r="R25" s="395" t="b">
        <f>Q25=[7]Exhibit!Q25</f>
        <v>1</v>
      </c>
    </row>
    <row r="26" spans="2:18" ht="15.75" customHeight="1" x14ac:dyDescent="0.2">
      <c r="B26" s="848" t="s">
        <v>308</v>
      </c>
      <c r="C26" s="850" t="s">
        <v>301</v>
      </c>
      <c r="D26" s="396" t="s">
        <v>49</v>
      </c>
      <c r="E26" s="397"/>
      <c r="F26" s="397"/>
      <c r="G26" s="397"/>
      <c r="H26" s="397"/>
      <c r="I26" s="397"/>
      <c r="J26" s="397"/>
      <c r="K26" s="397">
        <f>[7]Exhibit!K26</f>
        <v>16066042.76</v>
      </c>
      <c r="L26" s="397">
        <f>[7]Exhibit!L26</f>
        <v>39560654.110000007</v>
      </c>
      <c r="M26" s="397">
        <f>[7]Exhibit!M26</f>
        <v>52008024.639999993</v>
      </c>
      <c r="N26" s="397">
        <f>[7]Exhibit!N26</f>
        <v>74008790.870000005</v>
      </c>
      <c r="O26" s="397">
        <f>[7]Exhibit!O26</f>
        <v>60159362.629999995</v>
      </c>
      <c r="P26" s="435">
        <f>[7]Exhibit!P26</f>
        <v>86688010.439999983</v>
      </c>
      <c r="Q26" s="426">
        <f>SUM(E26:P26)</f>
        <v>328490885.44999999</v>
      </c>
      <c r="R26" s="395" t="b">
        <f>Q26=[7]Exhibit!Q26</f>
        <v>1</v>
      </c>
    </row>
    <row r="27" spans="2:18" x14ac:dyDescent="0.2">
      <c r="B27" s="848"/>
      <c r="C27" s="851"/>
      <c r="D27" s="399" t="s">
        <v>302</v>
      </c>
      <c r="E27" s="400"/>
      <c r="F27" s="400"/>
      <c r="G27" s="400"/>
      <c r="H27" s="400"/>
      <c r="I27" s="400"/>
      <c r="J27" s="400"/>
      <c r="K27" s="400">
        <f>[7]Exhibit!K27</f>
        <v>4192.63</v>
      </c>
      <c r="L27" s="400">
        <f>[7]Exhibit!L27</f>
        <v>121719.49</v>
      </c>
      <c r="M27" s="400">
        <f>[7]Exhibit!M27</f>
        <v>117689.95</v>
      </c>
      <c r="N27" s="400">
        <f>[7]Exhibit!N27</f>
        <v>257628.28000000003</v>
      </c>
      <c r="O27" s="400">
        <f>[7]Exhibit!O27</f>
        <v>193158.1</v>
      </c>
      <c r="P27" s="436">
        <f>[7]Exhibit!P27</f>
        <v>199563.18000000002</v>
      </c>
      <c r="Q27" s="427">
        <f t="shared" ref="Q27:Q34" si="6">SUM(E27:P27)</f>
        <v>893951.63000000012</v>
      </c>
      <c r="R27" s="395" t="b">
        <f>Q27=[7]Exhibit!Q27</f>
        <v>1</v>
      </c>
    </row>
    <row r="28" spans="2:18" x14ac:dyDescent="0.2">
      <c r="B28" s="848"/>
      <c r="C28" s="851"/>
      <c r="D28" s="399" t="s">
        <v>67</v>
      </c>
      <c r="E28" s="400"/>
      <c r="F28" s="400"/>
      <c r="G28" s="400"/>
      <c r="H28" s="400"/>
      <c r="I28" s="400"/>
      <c r="J28" s="400"/>
      <c r="K28" s="400">
        <f>[7]Exhibit!K28</f>
        <v>19586.48</v>
      </c>
      <c r="L28" s="400">
        <f>[7]Exhibit!L28</f>
        <v>37637.730000000003</v>
      </c>
      <c r="M28" s="400">
        <f>[7]Exhibit!M28</f>
        <v>67601.39</v>
      </c>
      <c r="N28" s="400">
        <f>[7]Exhibit!N28</f>
        <v>107855.37</v>
      </c>
      <c r="O28" s="400">
        <f>[7]Exhibit!O28</f>
        <v>66138.33</v>
      </c>
      <c r="P28" s="436">
        <f>[7]Exhibit!P28</f>
        <v>109977.88</v>
      </c>
      <c r="Q28" s="427">
        <f t="shared" si="6"/>
        <v>408797.18</v>
      </c>
      <c r="R28" s="395" t="b">
        <f>Q28=[7]Exhibit!Q28</f>
        <v>1</v>
      </c>
    </row>
    <row r="29" spans="2:18" ht="16.5" thickBot="1" x14ac:dyDescent="0.25">
      <c r="B29" s="848"/>
      <c r="C29" s="851"/>
      <c r="D29" s="402" t="s">
        <v>303</v>
      </c>
      <c r="E29" s="403"/>
      <c r="F29" s="403"/>
      <c r="G29" s="403"/>
      <c r="H29" s="403"/>
      <c r="I29" s="403"/>
      <c r="J29" s="403"/>
      <c r="K29" s="403">
        <f>[7]Exhibit!K29</f>
        <v>986794.03</v>
      </c>
      <c r="L29" s="403">
        <f>[7]Exhibit!L29</f>
        <v>952370.44</v>
      </c>
      <c r="M29" s="403">
        <f>[7]Exhibit!M29</f>
        <v>951139.84000000008</v>
      </c>
      <c r="N29" s="403">
        <f>[7]Exhibit!N29</f>
        <v>1124844.73</v>
      </c>
      <c r="O29" s="403">
        <f>[7]Exhibit!O29</f>
        <v>1286433.21</v>
      </c>
      <c r="P29" s="437">
        <f>[7]Exhibit!P29</f>
        <v>1547188.12</v>
      </c>
      <c r="Q29" s="428">
        <f t="shared" si="6"/>
        <v>6848770.3700000001</v>
      </c>
      <c r="R29" s="395" t="b">
        <f>Q29=[7]Exhibit!Q29</f>
        <v>1</v>
      </c>
    </row>
    <row r="30" spans="2:18" ht="17.25" hidden="1" thickTop="1" thickBot="1" x14ac:dyDescent="0.25">
      <c r="B30" s="848"/>
      <c r="C30" s="851"/>
      <c r="D30" s="405" t="s">
        <v>72</v>
      </c>
      <c r="E30" s="406"/>
      <c r="F30" s="406"/>
      <c r="G30" s="406"/>
      <c r="H30" s="406"/>
      <c r="I30" s="406"/>
      <c r="J30" s="406"/>
      <c r="K30" s="406">
        <v>0</v>
      </c>
      <c r="L30" s="406">
        <v>0</v>
      </c>
      <c r="M30" s="406">
        <v>0</v>
      </c>
      <c r="N30" s="406">
        <v>0</v>
      </c>
      <c r="O30" s="406">
        <v>0</v>
      </c>
      <c r="P30" s="438">
        <v>0</v>
      </c>
      <c r="Q30" s="429">
        <f t="shared" si="6"/>
        <v>0</v>
      </c>
      <c r="R30" s="395" t="b">
        <f>Q30=[7]Exhibit!Q30</f>
        <v>1</v>
      </c>
    </row>
    <row r="31" spans="2:18" ht="17.25" thickTop="1" thickBot="1" x14ac:dyDescent="0.25">
      <c r="B31" s="848"/>
      <c r="C31" s="852"/>
      <c r="D31" s="418" t="s">
        <v>304</v>
      </c>
      <c r="E31" s="419"/>
      <c r="F31" s="419"/>
      <c r="G31" s="419"/>
      <c r="H31" s="419"/>
      <c r="I31" s="419"/>
      <c r="J31" s="419"/>
      <c r="K31" s="408">
        <f t="shared" ref="K31:P31" si="7">SUM(K26:K30)</f>
        <v>17076615.900000002</v>
      </c>
      <c r="L31" s="408">
        <f t="shared" si="7"/>
        <v>40672381.770000003</v>
      </c>
      <c r="M31" s="408">
        <f t="shared" si="7"/>
        <v>53144455.82</v>
      </c>
      <c r="N31" s="408">
        <f t="shared" si="7"/>
        <v>75499119.250000015</v>
      </c>
      <c r="O31" s="408">
        <f t="shared" si="7"/>
        <v>61705092.269999996</v>
      </c>
      <c r="P31" s="439">
        <f t="shared" si="7"/>
        <v>88544739.61999999</v>
      </c>
      <c r="Q31" s="433">
        <f t="shared" si="6"/>
        <v>336642404.63</v>
      </c>
      <c r="R31" s="395" t="b">
        <f>Q31=[7]Exhibit!Q31</f>
        <v>1</v>
      </c>
    </row>
    <row r="32" spans="2:18" x14ac:dyDescent="0.2">
      <c r="B32" s="848"/>
      <c r="C32" s="853" t="s">
        <v>305</v>
      </c>
      <c r="D32" s="854"/>
      <c r="E32" s="409"/>
      <c r="F32" s="409"/>
      <c r="G32" s="409"/>
      <c r="H32" s="409"/>
      <c r="I32" s="409"/>
      <c r="J32" s="409"/>
      <c r="K32" s="400">
        <f>[7]Exhibit!K32</f>
        <v>0</v>
      </c>
      <c r="L32" s="409">
        <f>[7]Exhibit!L32</f>
        <v>0</v>
      </c>
      <c r="M32" s="409">
        <f>[7]Exhibit!M32</f>
        <v>0</v>
      </c>
      <c r="N32" s="409">
        <f>[7]Exhibit!N32</f>
        <v>0</v>
      </c>
      <c r="O32" s="409">
        <f>[7]Exhibit!O32</f>
        <v>0</v>
      </c>
      <c r="P32" s="440">
        <f>[7]Exhibit!P32</f>
        <v>0</v>
      </c>
      <c r="Q32" s="431">
        <f t="shared" si="6"/>
        <v>0</v>
      </c>
      <c r="R32" s="395" t="b">
        <f>Q32=[7]Exhibit!Q32</f>
        <v>1</v>
      </c>
    </row>
    <row r="33" spans="2:18" ht="16.5" thickBot="1" x14ac:dyDescent="0.25">
      <c r="B33" s="848"/>
      <c r="C33" s="855" t="s">
        <v>306</v>
      </c>
      <c r="D33" s="856"/>
      <c r="E33" s="403"/>
      <c r="F33" s="403"/>
      <c r="G33" s="403"/>
      <c r="H33" s="403"/>
      <c r="I33" s="403"/>
      <c r="J33" s="403"/>
      <c r="K33" s="403">
        <f>[7]Exhibit!K33</f>
        <v>4944.5200000000004</v>
      </c>
      <c r="L33" s="403">
        <f>[7]Exhibit!L33</f>
        <v>15261.19</v>
      </c>
      <c r="M33" s="403">
        <f>[7]Exhibit!M33</f>
        <v>29764.68</v>
      </c>
      <c r="N33" s="403">
        <f>[7]Exhibit!N33</f>
        <v>39866.51</v>
      </c>
      <c r="O33" s="403">
        <f>[7]Exhibit!O33</f>
        <v>72776.710000000006</v>
      </c>
      <c r="P33" s="437">
        <f>[7]Exhibit!P33</f>
        <v>97514.91</v>
      </c>
      <c r="Q33" s="428">
        <f t="shared" si="6"/>
        <v>260128.52</v>
      </c>
      <c r="R33" s="395" t="b">
        <f>Q33=[7]Exhibit!Q33</f>
        <v>1</v>
      </c>
    </row>
    <row r="34" spans="2:18" ht="16.5" thickTop="1" x14ac:dyDescent="0.2">
      <c r="B34" s="848"/>
      <c r="C34" s="853" t="s">
        <v>146</v>
      </c>
      <c r="D34" s="854"/>
      <c r="E34" s="411"/>
      <c r="F34" s="411"/>
      <c r="G34" s="411"/>
      <c r="H34" s="411"/>
      <c r="I34" s="411"/>
      <c r="J34" s="411"/>
      <c r="K34" s="411">
        <f t="shared" ref="K34:P34" si="8">K31+K32+K33</f>
        <v>17081560.420000002</v>
      </c>
      <c r="L34" s="411">
        <f t="shared" si="8"/>
        <v>40687642.960000001</v>
      </c>
      <c r="M34" s="411">
        <f t="shared" si="8"/>
        <v>53174220.5</v>
      </c>
      <c r="N34" s="411">
        <f t="shared" si="8"/>
        <v>75538985.76000002</v>
      </c>
      <c r="O34" s="411">
        <f t="shared" si="8"/>
        <v>61777868.979999997</v>
      </c>
      <c r="P34" s="441">
        <f t="shared" si="8"/>
        <v>88642254.529999986</v>
      </c>
      <c r="Q34" s="431">
        <f t="shared" si="6"/>
        <v>336902533.14999998</v>
      </c>
      <c r="R34" s="395" t="b">
        <f>Q34=[7]Exhibit!Q34</f>
        <v>1</v>
      </c>
    </row>
    <row r="35" spans="2:18" x14ac:dyDescent="0.2">
      <c r="B35" s="848"/>
      <c r="C35" s="857" t="s">
        <v>112</v>
      </c>
      <c r="D35" s="858"/>
      <c r="E35" s="412"/>
      <c r="F35" s="412"/>
      <c r="G35" s="412"/>
      <c r="H35" s="412"/>
      <c r="I35" s="412"/>
      <c r="J35" s="412"/>
      <c r="K35" s="412">
        <f>[7]Exhibit!K35</f>
        <v>113587</v>
      </c>
      <c r="L35" s="412">
        <f>[7]Exhibit!L35</f>
        <v>122589</v>
      </c>
      <c r="M35" s="412">
        <f>[7]Exhibit!M35</f>
        <v>135719</v>
      </c>
      <c r="N35" s="412">
        <f>[7]Exhibit!N35</f>
        <v>161505</v>
      </c>
      <c r="O35" s="412">
        <f>[7]Exhibit!O35</f>
        <v>174589</v>
      </c>
      <c r="P35" s="442">
        <f>[7]Exhibit!P35</f>
        <v>195453</v>
      </c>
      <c r="Q35" s="432">
        <f>AVERAGE(E35:P35)</f>
        <v>150573.66666666666</v>
      </c>
      <c r="R35" s="395" t="b">
        <f>Q35=[7]Exhibit!Q35</f>
        <v>1</v>
      </c>
    </row>
    <row r="36" spans="2:18" ht="16.5" thickBot="1" x14ac:dyDescent="0.25">
      <c r="B36" s="849"/>
      <c r="C36" s="859" t="s">
        <v>307</v>
      </c>
      <c r="D36" s="860"/>
      <c r="E36" s="414"/>
      <c r="F36" s="415"/>
      <c r="G36" s="415"/>
      <c r="H36" s="415"/>
      <c r="I36" s="415"/>
      <c r="J36" s="415"/>
      <c r="K36" s="416">
        <f>[7]Exhibit!K36</f>
        <v>150.38305809643711</v>
      </c>
      <c r="L36" s="416">
        <f>[7]Exhibit!L36</f>
        <v>331.90288655589001</v>
      </c>
      <c r="M36" s="416">
        <f>[7]Exhibit!M36</f>
        <v>391.79643601853832</v>
      </c>
      <c r="N36" s="416">
        <f>[7]Exhibit!N36</f>
        <v>467.71917748676526</v>
      </c>
      <c r="O36" s="416">
        <f>[7]Exhibit!O36</f>
        <v>353.84743013591918</v>
      </c>
      <c r="P36" s="443">
        <f>[7]Exhibit!P36</f>
        <v>453.52209753751532</v>
      </c>
      <c r="Q36" s="445">
        <f>Q34/Q35</f>
        <v>2237.4598467859587</v>
      </c>
      <c r="R36" s="395" t="b">
        <f>Q36=[7]Exhibit!Q36</f>
        <v>1</v>
      </c>
    </row>
    <row r="37" spans="2:18" x14ac:dyDescent="0.2">
      <c r="B37" s="861" t="s">
        <v>24</v>
      </c>
      <c r="C37" s="861"/>
      <c r="D37" s="861"/>
      <c r="E37" s="861"/>
      <c r="F37" s="861"/>
      <c r="G37" s="861"/>
      <c r="H37" s="861"/>
      <c r="I37" s="861"/>
      <c r="J37" s="861"/>
      <c r="K37" s="861"/>
      <c r="L37" s="861"/>
      <c r="M37" s="861"/>
      <c r="N37" s="861"/>
      <c r="O37" s="861"/>
      <c r="P37" s="861"/>
      <c r="Q37" s="861"/>
    </row>
    <row r="38" spans="2:18" x14ac:dyDescent="0.2">
      <c r="B38" s="862" t="s">
        <v>309</v>
      </c>
      <c r="C38" s="862"/>
      <c r="D38" s="862"/>
      <c r="E38" s="862"/>
      <c r="F38" s="862"/>
      <c r="G38" s="862"/>
      <c r="H38" s="862"/>
      <c r="I38" s="862"/>
      <c r="J38" s="862"/>
      <c r="K38" s="862"/>
      <c r="L38" s="862"/>
      <c r="M38" s="862"/>
      <c r="N38" s="862"/>
      <c r="O38" s="862"/>
      <c r="P38" s="862"/>
      <c r="Q38" s="862"/>
    </row>
    <row r="39" spans="2:18" x14ac:dyDescent="0.2">
      <c r="B39" s="863" t="s">
        <v>314</v>
      </c>
      <c r="C39" s="863"/>
      <c r="D39" s="863"/>
      <c r="E39" s="863"/>
      <c r="F39" s="863"/>
      <c r="G39" s="863"/>
      <c r="H39" s="863"/>
      <c r="I39" s="863"/>
      <c r="J39" s="863"/>
      <c r="K39" s="863"/>
      <c r="L39" s="863"/>
      <c r="M39" s="863"/>
      <c r="N39" s="863"/>
      <c r="O39" s="863"/>
      <c r="P39" s="863"/>
      <c r="Q39" s="863"/>
    </row>
    <row r="41" spans="2:18" ht="16.5" thickBot="1" x14ac:dyDescent="0.25">
      <c r="B41" s="844" t="s">
        <v>311</v>
      </c>
      <c r="C41" s="844"/>
      <c r="D41" s="844"/>
      <c r="E41" s="844"/>
      <c r="F41" s="844"/>
      <c r="G41" s="844"/>
      <c r="H41" s="844"/>
      <c r="I41" s="844"/>
      <c r="J41" s="844"/>
      <c r="K41" s="844"/>
      <c r="L41" s="844"/>
      <c r="M41" s="844"/>
      <c r="N41" s="844"/>
      <c r="O41" s="844"/>
      <c r="P41" s="844"/>
      <c r="Q41" s="844"/>
    </row>
    <row r="42" spans="2:18" ht="16.5" thickBot="1" x14ac:dyDescent="0.25">
      <c r="B42" s="391" t="s">
        <v>298</v>
      </c>
      <c r="C42" s="845" t="s">
        <v>48</v>
      </c>
      <c r="D42" s="846"/>
      <c r="E42" s="392">
        <v>41821</v>
      </c>
      <c r="F42" s="393">
        <v>41852</v>
      </c>
      <c r="G42" s="393">
        <v>41883</v>
      </c>
      <c r="H42" s="393">
        <v>41913</v>
      </c>
      <c r="I42" s="393">
        <v>41944</v>
      </c>
      <c r="J42" s="393">
        <v>41974</v>
      </c>
      <c r="K42" s="393">
        <v>42005</v>
      </c>
      <c r="L42" s="393">
        <v>42036</v>
      </c>
      <c r="M42" s="393">
        <v>42064</v>
      </c>
      <c r="N42" s="393">
        <v>42095</v>
      </c>
      <c r="O42" s="393">
        <v>42125</v>
      </c>
      <c r="P42" s="434">
        <v>42156</v>
      </c>
      <c r="Q42" s="425" t="s">
        <v>312</v>
      </c>
    </row>
    <row r="43" spans="2:18" x14ac:dyDescent="0.2">
      <c r="B43" s="847" t="s">
        <v>300</v>
      </c>
      <c r="C43" s="850" t="s">
        <v>301</v>
      </c>
      <c r="D43" s="396" t="s">
        <v>49</v>
      </c>
      <c r="E43" s="397">
        <f>[7]Exhibit!E43</f>
        <v>10521204.800000001</v>
      </c>
      <c r="F43" s="397">
        <f>[7]Exhibit!F43</f>
        <v>11585142.010000002</v>
      </c>
      <c r="G43" s="397">
        <f>[7]Exhibit!G43</f>
        <v>15624406.999999998</v>
      </c>
      <c r="H43" s="397">
        <f>[7]Exhibit!H43</f>
        <v>12583815.389999999</v>
      </c>
      <c r="I43" s="397">
        <f>[7]Exhibit!I43</f>
        <v>14215137.32</v>
      </c>
      <c r="J43" s="397">
        <f>[7]Exhibit!J43</f>
        <v>16876867.440000001</v>
      </c>
      <c r="K43" s="397">
        <f>[7]Exhibit!K43</f>
        <v>14920688.179999998</v>
      </c>
      <c r="L43" s="397">
        <f>[7]Exhibit!L43</f>
        <v>16324691.770000001</v>
      </c>
      <c r="M43" s="397">
        <f>[7]Exhibit!M43</f>
        <v>19481027.319999997</v>
      </c>
      <c r="N43" s="397">
        <f>[7]Exhibit!N43</f>
        <v>14121506.749999998</v>
      </c>
      <c r="O43" s="397">
        <f>[7]Exhibit!O43</f>
        <v>10832232</v>
      </c>
      <c r="P43" s="435">
        <f>[7]Exhibit!P43</f>
        <v>8338166.6699999981</v>
      </c>
      <c r="Q43" s="426">
        <f>SUM(E43:P43)</f>
        <v>165424886.64999998</v>
      </c>
      <c r="R43" s="395" t="b">
        <f>Q43=[7]Exhibit!Q43</f>
        <v>1</v>
      </c>
    </row>
    <row r="44" spans="2:18" x14ac:dyDescent="0.2">
      <c r="B44" s="848"/>
      <c r="C44" s="851"/>
      <c r="D44" s="399" t="s">
        <v>302</v>
      </c>
      <c r="E44" s="400">
        <f>[7]Exhibit!E44</f>
        <v>23031.040000000001</v>
      </c>
      <c r="F44" s="400">
        <f>[7]Exhibit!F44</f>
        <v>17529.3</v>
      </c>
      <c r="G44" s="400">
        <f>[7]Exhibit!G44</f>
        <v>10896.75</v>
      </c>
      <c r="H44" s="400">
        <f>[7]Exhibit!H44</f>
        <v>8885.0499999999993</v>
      </c>
      <c r="I44" s="400">
        <f>[7]Exhibit!I44</f>
        <v>11632.64</v>
      </c>
      <c r="J44" s="400">
        <f>[7]Exhibit!J44</f>
        <v>39414.019999999997</v>
      </c>
      <c r="K44" s="400">
        <f>[7]Exhibit!K44</f>
        <v>18382.77</v>
      </c>
      <c r="L44" s="400">
        <f>[7]Exhibit!L44</f>
        <v>18988.990000000002</v>
      </c>
      <c r="M44" s="400">
        <f>[7]Exhibit!M44</f>
        <v>26793.01</v>
      </c>
      <c r="N44" s="400">
        <f>[7]Exhibit!N44</f>
        <v>13480.17</v>
      </c>
      <c r="O44" s="400">
        <f>[7]Exhibit!O44</f>
        <v>5047.38</v>
      </c>
      <c r="P44" s="436">
        <f>[7]Exhibit!P44</f>
        <v>3560.06</v>
      </c>
      <c r="Q44" s="427">
        <f t="shared" ref="Q44:Q51" si="9">SUM(E44:P44)</f>
        <v>197641.18000000002</v>
      </c>
      <c r="R44" s="395" t="b">
        <f>Q44=[7]Exhibit!Q44</f>
        <v>1</v>
      </c>
    </row>
    <row r="45" spans="2:18" x14ac:dyDescent="0.2">
      <c r="B45" s="848"/>
      <c r="C45" s="851"/>
      <c r="D45" s="399" t="s">
        <v>67</v>
      </c>
      <c r="E45" s="400">
        <f>[7]Exhibit!E45</f>
        <v>0</v>
      </c>
      <c r="F45" s="400">
        <f>[7]Exhibit!F45</f>
        <v>0</v>
      </c>
      <c r="G45" s="400">
        <f>[7]Exhibit!G45</f>
        <v>0</v>
      </c>
      <c r="H45" s="400">
        <f>[7]Exhibit!H45</f>
        <v>0</v>
      </c>
      <c r="I45" s="400">
        <f>[7]Exhibit!I45</f>
        <v>3208.66</v>
      </c>
      <c r="J45" s="400">
        <f>[7]Exhibit!J45</f>
        <v>3419.68</v>
      </c>
      <c r="K45" s="400">
        <f>[7]Exhibit!K45</f>
        <v>3208.66</v>
      </c>
      <c r="L45" s="400">
        <f>[7]Exhibit!L45</f>
        <v>1377.34</v>
      </c>
      <c r="M45" s="400">
        <f>[7]Exhibit!M45</f>
        <v>17303.490000000002</v>
      </c>
      <c r="N45" s="400">
        <f>[7]Exhibit!N45</f>
        <v>5343.75</v>
      </c>
      <c r="O45" s="400">
        <f>[7]Exhibit!O45</f>
        <v>6648.57</v>
      </c>
      <c r="P45" s="436">
        <f>[7]Exhibit!P45</f>
        <v>0</v>
      </c>
      <c r="Q45" s="427">
        <f t="shared" si="9"/>
        <v>40510.15</v>
      </c>
      <c r="R45" s="395" t="b">
        <f>Q45=[7]Exhibit!Q45</f>
        <v>1</v>
      </c>
    </row>
    <row r="46" spans="2:18" ht="16.5" thickBot="1" x14ac:dyDescent="0.25">
      <c r="B46" s="848"/>
      <c r="C46" s="851"/>
      <c r="D46" s="402" t="s">
        <v>303</v>
      </c>
      <c r="E46" s="403">
        <f>[7]Exhibit!E46</f>
        <v>446344.44</v>
      </c>
      <c r="F46" s="403">
        <f>[7]Exhibit!F46</f>
        <v>450337.01</v>
      </c>
      <c r="G46" s="403">
        <f>[7]Exhibit!G46</f>
        <v>524404.22</v>
      </c>
      <c r="H46" s="403">
        <f>[7]Exhibit!H46</f>
        <v>488971.95</v>
      </c>
      <c r="I46" s="403">
        <f>[7]Exhibit!I46</f>
        <v>500374.87</v>
      </c>
      <c r="J46" s="403">
        <f>[7]Exhibit!J46</f>
        <v>493332.96</v>
      </c>
      <c r="K46" s="403">
        <f>[7]Exhibit!K46</f>
        <v>482464.63</v>
      </c>
      <c r="L46" s="403">
        <f>[7]Exhibit!L46</f>
        <v>502387.01</v>
      </c>
      <c r="M46" s="403">
        <f>[7]Exhibit!M46</f>
        <v>519291.09</v>
      </c>
      <c r="N46" s="403">
        <f>[7]Exhibit!N46</f>
        <v>489246.82</v>
      </c>
      <c r="O46" s="403">
        <f>[7]Exhibit!O46</f>
        <v>380141.69</v>
      </c>
      <c r="P46" s="437">
        <f>[7]Exhibit!P46</f>
        <v>311797.59000000003</v>
      </c>
      <c r="Q46" s="428">
        <f t="shared" si="9"/>
        <v>5589094.2800000003</v>
      </c>
      <c r="R46" s="395" t="b">
        <f>Q46=[7]Exhibit!Q46</f>
        <v>1</v>
      </c>
    </row>
    <row r="47" spans="2:18" ht="17.25" hidden="1" customHeight="1" thickTop="1" thickBot="1" x14ac:dyDescent="0.25">
      <c r="B47" s="848"/>
      <c r="C47" s="851"/>
      <c r="D47" s="405" t="s">
        <v>72</v>
      </c>
      <c r="E47" s="406">
        <v>0</v>
      </c>
      <c r="F47" s="406">
        <v>0</v>
      </c>
      <c r="G47" s="406">
        <v>0</v>
      </c>
      <c r="H47" s="406">
        <v>0</v>
      </c>
      <c r="I47" s="406">
        <v>0</v>
      </c>
      <c r="J47" s="406">
        <v>0</v>
      </c>
      <c r="K47" s="406">
        <v>0</v>
      </c>
      <c r="L47" s="406">
        <v>0</v>
      </c>
      <c r="M47" s="406">
        <v>0</v>
      </c>
      <c r="N47" s="406">
        <v>0</v>
      </c>
      <c r="O47" s="406">
        <v>0</v>
      </c>
      <c r="P47" s="438">
        <v>0</v>
      </c>
      <c r="Q47" s="429">
        <f t="shared" si="9"/>
        <v>0</v>
      </c>
      <c r="R47" s="395" t="b">
        <f>Q47=[7]Exhibit!Q47</f>
        <v>1</v>
      </c>
    </row>
    <row r="48" spans="2:18" ht="17.25" thickTop="1" thickBot="1" x14ac:dyDescent="0.25">
      <c r="B48" s="848"/>
      <c r="C48" s="852"/>
      <c r="D48" s="418" t="s">
        <v>304</v>
      </c>
      <c r="E48" s="408">
        <f t="shared" ref="E48:P48" si="10">SUM(E43:E47)</f>
        <v>10990580.279999999</v>
      </c>
      <c r="F48" s="419">
        <f t="shared" si="10"/>
        <v>12053008.320000002</v>
      </c>
      <c r="G48" s="419">
        <f t="shared" si="10"/>
        <v>16159707.969999999</v>
      </c>
      <c r="H48" s="419">
        <f t="shared" si="10"/>
        <v>13081672.389999999</v>
      </c>
      <c r="I48" s="419">
        <f t="shared" si="10"/>
        <v>14730353.49</v>
      </c>
      <c r="J48" s="419">
        <f t="shared" si="10"/>
        <v>17413034.100000001</v>
      </c>
      <c r="K48" s="419">
        <f t="shared" si="10"/>
        <v>15424744.239999998</v>
      </c>
      <c r="L48" s="419">
        <f t="shared" si="10"/>
        <v>16847445.110000003</v>
      </c>
      <c r="M48" s="419">
        <f t="shared" si="10"/>
        <v>20044414.909999996</v>
      </c>
      <c r="N48" s="419">
        <f t="shared" si="10"/>
        <v>14629577.489999998</v>
      </c>
      <c r="O48" s="419">
        <f t="shared" si="10"/>
        <v>11224069.640000001</v>
      </c>
      <c r="P48" s="444">
        <f t="shared" si="10"/>
        <v>8653524.3199999984</v>
      </c>
      <c r="Q48" s="433">
        <f>SUM(E48:P48)</f>
        <v>171252132.25999999</v>
      </c>
      <c r="R48" s="395" t="b">
        <f>Q48=[7]Exhibit!Q48</f>
        <v>1</v>
      </c>
    </row>
    <row r="49" spans="2:18" x14ac:dyDescent="0.2">
      <c r="B49" s="848"/>
      <c r="C49" s="853" t="s">
        <v>305</v>
      </c>
      <c r="D49" s="854"/>
      <c r="E49" s="400">
        <f>[7]Exhibit!E49</f>
        <v>232727.94</v>
      </c>
      <c r="F49" s="409">
        <f>[7]Exhibit!F49</f>
        <v>132988.91</v>
      </c>
      <c r="G49" s="409">
        <f>[7]Exhibit!G49</f>
        <v>47831.03</v>
      </c>
      <c r="H49" s="409">
        <f>[7]Exhibit!H49</f>
        <v>0</v>
      </c>
      <c r="I49" s="409">
        <f>[7]Exhibit!I49</f>
        <v>0</v>
      </c>
      <c r="J49" s="409">
        <f>[7]Exhibit!J49</f>
        <v>0</v>
      </c>
      <c r="K49" s="409">
        <f>[7]Exhibit!K49</f>
        <v>0</v>
      </c>
      <c r="L49" s="409">
        <f>[7]Exhibit!L49</f>
        <v>0</v>
      </c>
      <c r="M49" s="409">
        <f>[7]Exhibit!M49</f>
        <v>-4241.03</v>
      </c>
      <c r="N49" s="409">
        <f>[7]Exhibit!N49</f>
        <v>0</v>
      </c>
      <c r="O49" s="409">
        <f>[7]Exhibit!O49</f>
        <v>0</v>
      </c>
      <c r="P49" s="440">
        <f>[7]Exhibit!P49</f>
        <v>-120.42</v>
      </c>
      <c r="Q49" s="431">
        <f t="shared" si="9"/>
        <v>409186.43</v>
      </c>
      <c r="R49" s="395" t="b">
        <f>Q49=[7]Exhibit!Q49</f>
        <v>1</v>
      </c>
    </row>
    <row r="50" spans="2:18" ht="16.5" thickBot="1" x14ac:dyDescent="0.25">
      <c r="B50" s="848"/>
      <c r="C50" s="855" t="s">
        <v>306</v>
      </c>
      <c r="D50" s="856"/>
      <c r="E50" s="403">
        <f>[7]Exhibit!E50</f>
        <v>360</v>
      </c>
      <c r="F50" s="403">
        <f>[7]Exhibit!F50</f>
        <v>0</v>
      </c>
      <c r="G50" s="403">
        <f>[7]Exhibit!G50</f>
        <v>4636.32</v>
      </c>
      <c r="H50" s="403">
        <f>[7]Exhibit!H50</f>
        <v>400</v>
      </c>
      <c r="I50" s="403">
        <f>[7]Exhibit!I50</f>
        <v>2434.16</v>
      </c>
      <c r="J50" s="403">
        <f>[7]Exhibit!J50</f>
        <v>4737.3599999999997</v>
      </c>
      <c r="K50" s="403">
        <f>[7]Exhibit!K50</f>
        <v>3463.2</v>
      </c>
      <c r="L50" s="403">
        <f>[7]Exhibit!L50</f>
        <v>2866.95</v>
      </c>
      <c r="M50" s="403">
        <f>[7]Exhibit!M50</f>
        <v>3411.72</v>
      </c>
      <c r="N50" s="403">
        <f>[7]Exhibit!N50</f>
        <v>3676.01</v>
      </c>
      <c r="O50" s="403">
        <f>[7]Exhibit!O50</f>
        <v>18270.759999999998</v>
      </c>
      <c r="P50" s="437">
        <f>[7]Exhibit!P50</f>
        <v>3199.88</v>
      </c>
      <c r="Q50" s="428">
        <f t="shared" si="9"/>
        <v>47456.359999999993</v>
      </c>
      <c r="R50" s="395" t="b">
        <f>Q50=[7]Exhibit!Q50</f>
        <v>1</v>
      </c>
    </row>
    <row r="51" spans="2:18" ht="16.5" thickTop="1" x14ac:dyDescent="0.2">
      <c r="B51" s="848"/>
      <c r="C51" s="853" t="s">
        <v>146</v>
      </c>
      <c r="D51" s="854"/>
      <c r="E51" s="411">
        <f>E48+E49+E50</f>
        <v>11223668.219999999</v>
      </c>
      <c r="F51" s="411">
        <f t="shared" ref="F51:P51" si="11">F48+F49+F50</f>
        <v>12185997.230000002</v>
      </c>
      <c r="G51" s="411">
        <f t="shared" si="11"/>
        <v>16212175.319999998</v>
      </c>
      <c r="H51" s="411">
        <f t="shared" si="11"/>
        <v>13082072.389999999</v>
      </c>
      <c r="I51" s="411">
        <f t="shared" si="11"/>
        <v>14732787.65</v>
      </c>
      <c r="J51" s="411">
        <f t="shared" si="11"/>
        <v>17417771.460000001</v>
      </c>
      <c r="K51" s="411">
        <f t="shared" si="11"/>
        <v>15428207.439999998</v>
      </c>
      <c r="L51" s="411">
        <f t="shared" si="11"/>
        <v>16850312.060000002</v>
      </c>
      <c r="M51" s="411">
        <f t="shared" si="11"/>
        <v>20043585.599999994</v>
      </c>
      <c r="N51" s="411">
        <f t="shared" si="11"/>
        <v>14633253.499999998</v>
      </c>
      <c r="O51" s="411">
        <f t="shared" si="11"/>
        <v>11242340.4</v>
      </c>
      <c r="P51" s="441">
        <f t="shared" si="11"/>
        <v>8656603.7799999993</v>
      </c>
      <c r="Q51" s="431">
        <f t="shared" si="9"/>
        <v>171708775.05000001</v>
      </c>
      <c r="R51" s="395" t="b">
        <f>Q51=[7]Exhibit!Q51</f>
        <v>1</v>
      </c>
    </row>
    <row r="52" spans="2:18" x14ac:dyDescent="0.2">
      <c r="B52" s="848"/>
      <c r="C52" s="857" t="s">
        <v>112</v>
      </c>
      <c r="D52" s="858"/>
      <c r="E52" s="412">
        <f>[7]Exhibit!E52</f>
        <v>57057</v>
      </c>
      <c r="F52" s="412">
        <f>[7]Exhibit!F52</f>
        <v>57086</v>
      </c>
      <c r="G52" s="412">
        <f>[7]Exhibit!G52</f>
        <v>60380</v>
      </c>
      <c r="H52" s="412">
        <f>[7]Exhibit!H52</f>
        <v>60321</v>
      </c>
      <c r="I52" s="412">
        <f>[7]Exhibit!I52</f>
        <v>65052</v>
      </c>
      <c r="J52" s="412">
        <f>[7]Exhibit!J52</f>
        <v>68416</v>
      </c>
      <c r="K52" s="412">
        <f>[7]Exhibit!K52</f>
        <v>65196</v>
      </c>
      <c r="L52" s="412">
        <f>[7]Exhibit!L52</f>
        <v>73234</v>
      </c>
      <c r="M52" s="412">
        <f>[7]Exhibit!M52</f>
        <v>72226</v>
      </c>
      <c r="N52" s="412">
        <f>[7]Exhibit!N52</f>
        <v>63800</v>
      </c>
      <c r="O52" s="412">
        <f>[7]Exhibit!O52</f>
        <v>50488</v>
      </c>
      <c r="P52" s="442">
        <f>[7]Exhibit!P52</f>
        <v>63482</v>
      </c>
      <c r="Q52" s="432">
        <f>AVERAGE(E52:P52)</f>
        <v>63061.5</v>
      </c>
      <c r="R52" s="395" t="b">
        <f>Q52=[7]Exhibit!Q52</f>
        <v>1</v>
      </c>
    </row>
    <row r="53" spans="2:18" ht="16.5" thickBot="1" x14ac:dyDescent="0.25">
      <c r="B53" s="849"/>
      <c r="C53" s="859" t="s">
        <v>307</v>
      </c>
      <c r="D53" s="860"/>
      <c r="E53" s="416">
        <f>[7]Exhibit!E53</f>
        <v>196.70975024975021</v>
      </c>
      <c r="F53" s="415">
        <f>[7]Exhibit!F53</f>
        <v>213.46735153978213</v>
      </c>
      <c r="G53" s="415">
        <f>[7]Exhibit!G53</f>
        <v>268.50240675720437</v>
      </c>
      <c r="H53" s="415">
        <f>[7]Exhibit!H53</f>
        <v>216.87426252880422</v>
      </c>
      <c r="I53" s="415">
        <f>[7]Exhibit!I53</f>
        <v>226.47708986656829</v>
      </c>
      <c r="J53" s="415">
        <f>[7]Exhibit!J53</f>
        <v>254.58622924462117</v>
      </c>
      <c r="K53" s="416">
        <f>[7]Exhibit!K53</f>
        <v>236.64346647033557</v>
      </c>
      <c r="L53" s="416">
        <f>[7]Exhibit!L53</f>
        <v>230.08864816888334</v>
      </c>
      <c r="M53" s="416">
        <f>[7]Exhibit!M53</f>
        <v>277.5120538310303</v>
      </c>
      <c r="N53" s="416">
        <f>[7]Exhibit!N53</f>
        <v>229.36134012539182</v>
      </c>
      <c r="O53" s="416">
        <f>[7]Exhibit!O53</f>
        <v>222.67351449849471</v>
      </c>
      <c r="P53" s="443">
        <f>[7]Exhibit!P53</f>
        <v>136.36312309000976</v>
      </c>
      <c r="Q53" s="445">
        <f>Q51/Q52</f>
        <v>2722.8780642705933</v>
      </c>
      <c r="R53" s="395" t="b">
        <f>Q53=[7]Exhibit!Q53</f>
        <v>1</v>
      </c>
    </row>
    <row r="54" spans="2:18" x14ac:dyDescent="0.2">
      <c r="B54" s="847" t="s">
        <v>155</v>
      </c>
      <c r="C54" s="850" t="s">
        <v>301</v>
      </c>
      <c r="D54" s="396" t="s">
        <v>49</v>
      </c>
      <c r="E54" s="397">
        <f>[7]Exhibit!E54</f>
        <v>56430010.25</v>
      </c>
      <c r="F54" s="397">
        <f>[7]Exhibit!F54</f>
        <v>62761944.829999991</v>
      </c>
      <c r="G54" s="397">
        <f>[7]Exhibit!G54</f>
        <v>81075480.409999996</v>
      </c>
      <c r="H54" s="397">
        <f>[7]Exhibit!H54</f>
        <v>62411649.480000012</v>
      </c>
      <c r="I54" s="397">
        <f>[7]Exhibit!I54</f>
        <v>71194220.799999997</v>
      </c>
      <c r="J54" s="397">
        <f>[7]Exhibit!J54</f>
        <v>83632427.960000008</v>
      </c>
      <c r="K54" s="397">
        <f>[7]Exhibit!K54</f>
        <v>73653258.140000001</v>
      </c>
      <c r="L54" s="397">
        <f>[7]Exhibit!L54</f>
        <v>82350182.660000026</v>
      </c>
      <c r="M54" s="397">
        <f>[7]Exhibit!M54</f>
        <v>99473678.299999997</v>
      </c>
      <c r="N54" s="397">
        <f>[7]Exhibit!N54</f>
        <v>84240550.25999999</v>
      </c>
      <c r="O54" s="397">
        <f>[7]Exhibit!O54</f>
        <v>93655776.040000007</v>
      </c>
      <c r="P54" s="435">
        <f>[7]Exhibit!P54</f>
        <v>120756203.25999999</v>
      </c>
      <c r="Q54" s="426">
        <f>SUM(E54:P54)</f>
        <v>971635382.38999987</v>
      </c>
      <c r="R54" s="395" t="b">
        <f>Q54=[7]Exhibit!Q54</f>
        <v>1</v>
      </c>
    </row>
    <row r="55" spans="2:18" x14ac:dyDescent="0.2">
      <c r="B55" s="848"/>
      <c r="C55" s="851"/>
      <c r="D55" s="399" t="s">
        <v>302</v>
      </c>
      <c r="E55" s="400">
        <f>[7]Exhibit!E55</f>
        <v>189936.38</v>
      </c>
      <c r="F55" s="400">
        <f>[7]Exhibit!F55</f>
        <v>150435.92000000001</v>
      </c>
      <c r="G55" s="400">
        <f>[7]Exhibit!G55</f>
        <v>246471.26</v>
      </c>
      <c r="H55" s="400">
        <f>[7]Exhibit!H55</f>
        <v>229524.43999999997</v>
      </c>
      <c r="I55" s="400">
        <f>[7]Exhibit!I55</f>
        <v>188685.4</v>
      </c>
      <c r="J55" s="400">
        <f>[7]Exhibit!J55</f>
        <v>215599.18</v>
      </c>
      <c r="K55" s="400">
        <f>[7]Exhibit!K55</f>
        <v>234261.79</v>
      </c>
      <c r="L55" s="400">
        <f>[7]Exhibit!L55</f>
        <v>197098.47</v>
      </c>
      <c r="M55" s="400">
        <f>[7]Exhibit!M55</f>
        <v>264124.79999999999</v>
      </c>
      <c r="N55" s="400">
        <f>[7]Exhibit!N55</f>
        <v>284300.26</v>
      </c>
      <c r="O55" s="400">
        <f>[7]Exhibit!O55</f>
        <v>250403.5</v>
      </c>
      <c r="P55" s="436">
        <f>[7]Exhibit!P55</f>
        <v>294829.24</v>
      </c>
      <c r="Q55" s="427">
        <f t="shared" ref="Q55:Q62" si="12">SUM(E55:P55)</f>
        <v>2745670.6400000006</v>
      </c>
      <c r="R55" s="395" t="b">
        <f>Q55=[7]Exhibit!Q55</f>
        <v>1</v>
      </c>
    </row>
    <row r="56" spans="2:18" x14ac:dyDescent="0.2">
      <c r="B56" s="848"/>
      <c r="C56" s="851"/>
      <c r="D56" s="399" t="s">
        <v>67</v>
      </c>
      <c r="E56" s="400">
        <f>[7]Exhibit!E56</f>
        <v>101087.55</v>
      </c>
      <c r="F56" s="400">
        <f>[7]Exhibit!F56</f>
        <v>79024.789999999994</v>
      </c>
      <c r="G56" s="400">
        <f>[7]Exhibit!G56</f>
        <v>117758.34</v>
      </c>
      <c r="H56" s="400">
        <f>[7]Exhibit!H56</f>
        <v>162896.26999999999</v>
      </c>
      <c r="I56" s="400">
        <f>[7]Exhibit!I56</f>
        <v>141408.59</v>
      </c>
      <c r="J56" s="400">
        <f>[7]Exhibit!J56</f>
        <v>119792.31</v>
      </c>
      <c r="K56" s="400">
        <f>[7]Exhibit!K56</f>
        <v>185185.92000000001</v>
      </c>
      <c r="L56" s="400">
        <f>[7]Exhibit!L56</f>
        <v>147677.29</v>
      </c>
      <c r="M56" s="400">
        <f>[7]Exhibit!M56</f>
        <v>120704.03</v>
      </c>
      <c r="N56" s="400">
        <f>[7]Exhibit!N56</f>
        <v>99615.2</v>
      </c>
      <c r="O56" s="400">
        <f>[7]Exhibit!O56</f>
        <v>76993.06</v>
      </c>
      <c r="P56" s="436">
        <f>[7]Exhibit!P56</f>
        <v>214626.49</v>
      </c>
      <c r="Q56" s="427">
        <f t="shared" si="12"/>
        <v>1566769.8399999999</v>
      </c>
      <c r="R56" s="395" t="b">
        <f>Q56=[7]Exhibit!Q56</f>
        <v>1</v>
      </c>
    </row>
    <row r="57" spans="2:18" ht="16.5" thickBot="1" x14ac:dyDescent="0.25">
      <c r="B57" s="848"/>
      <c r="C57" s="851"/>
      <c r="D57" s="402" t="s">
        <v>303</v>
      </c>
      <c r="E57" s="403">
        <f>[7]Exhibit!E57</f>
        <v>1321931.1399999999</v>
      </c>
      <c r="F57" s="403">
        <f>[7]Exhibit!F57</f>
        <v>1389322.21</v>
      </c>
      <c r="G57" s="403">
        <f>[7]Exhibit!G57</f>
        <v>1538203.32</v>
      </c>
      <c r="H57" s="403">
        <f>[7]Exhibit!H57</f>
        <v>1491058.01</v>
      </c>
      <c r="I57" s="403">
        <f>[7]Exhibit!I57</f>
        <v>1501150.15</v>
      </c>
      <c r="J57" s="403">
        <f>[7]Exhibit!J57</f>
        <v>1488698.58</v>
      </c>
      <c r="K57" s="403">
        <f>[7]Exhibit!K57</f>
        <v>1527792.79</v>
      </c>
      <c r="L57" s="403">
        <f>[7]Exhibit!L57</f>
        <v>1569509.75</v>
      </c>
      <c r="M57" s="403">
        <f>[7]Exhibit!M57</f>
        <v>1663201.68</v>
      </c>
      <c r="N57" s="403">
        <f>[7]Exhibit!N57</f>
        <v>1816328.24</v>
      </c>
      <c r="O57" s="403">
        <f>[7]Exhibit!O57</f>
        <v>2055374.69</v>
      </c>
      <c r="P57" s="437">
        <f>[7]Exhibit!P57</f>
        <v>2172677.2799999998</v>
      </c>
      <c r="Q57" s="428">
        <f t="shared" si="12"/>
        <v>19535247.84</v>
      </c>
      <c r="R57" s="395" t="b">
        <f>Q57=[7]Exhibit!Q57</f>
        <v>1</v>
      </c>
    </row>
    <row r="58" spans="2:18" ht="17.25" hidden="1" thickTop="1" thickBot="1" x14ac:dyDescent="0.25">
      <c r="B58" s="848"/>
      <c r="C58" s="851"/>
      <c r="D58" s="405" t="s">
        <v>72</v>
      </c>
      <c r="E58" s="406">
        <v>0</v>
      </c>
      <c r="F58" s="406">
        <v>0</v>
      </c>
      <c r="G58" s="406">
        <v>0</v>
      </c>
      <c r="H58" s="406">
        <v>0</v>
      </c>
      <c r="I58" s="406">
        <v>0</v>
      </c>
      <c r="J58" s="406">
        <v>0</v>
      </c>
      <c r="K58" s="406">
        <v>0</v>
      </c>
      <c r="L58" s="406">
        <v>0</v>
      </c>
      <c r="M58" s="406">
        <v>0</v>
      </c>
      <c r="N58" s="406">
        <v>0</v>
      </c>
      <c r="O58" s="406">
        <v>0</v>
      </c>
      <c r="P58" s="438">
        <v>0</v>
      </c>
      <c r="Q58" s="429">
        <f t="shared" si="12"/>
        <v>0</v>
      </c>
      <c r="R58" s="395" t="b">
        <f>Q58=[7]Exhibit!Q58</f>
        <v>1</v>
      </c>
    </row>
    <row r="59" spans="2:18" ht="17.25" thickTop="1" thickBot="1" x14ac:dyDescent="0.25">
      <c r="B59" s="848"/>
      <c r="C59" s="852"/>
      <c r="D59" s="418" t="s">
        <v>304</v>
      </c>
      <c r="E59" s="408">
        <f>SUM(E54:E58)</f>
        <v>58042965.32</v>
      </c>
      <c r="F59" s="419">
        <f t="shared" ref="F59:P59" si="13">SUM(F54:F58)</f>
        <v>64380727.749999993</v>
      </c>
      <c r="G59" s="419">
        <f t="shared" si="13"/>
        <v>82977913.329999998</v>
      </c>
      <c r="H59" s="419">
        <f t="shared" si="13"/>
        <v>64295128.20000001</v>
      </c>
      <c r="I59" s="419">
        <f t="shared" si="13"/>
        <v>73025464.940000013</v>
      </c>
      <c r="J59" s="419">
        <f t="shared" si="13"/>
        <v>85456518.030000016</v>
      </c>
      <c r="K59" s="419">
        <f t="shared" si="13"/>
        <v>75600498.640000015</v>
      </c>
      <c r="L59" s="419">
        <f t="shared" si="13"/>
        <v>84264468.170000032</v>
      </c>
      <c r="M59" s="419">
        <f t="shared" si="13"/>
        <v>101521708.81</v>
      </c>
      <c r="N59" s="419">
        <f t="shared" si="13"/>
        <v>86440793.959999993</v>
      </c>
      <c r="O59" s="419">
        <f t="shared" si="13"/>
        <v>96038547.290000007</v>
      </c>
      <c r="P59" s="444">
        <f t="shared" si="13"/>
        <v>123438336.26999998</v>
      </c>
      <c r="Q59" s="433">
        <f t="shared" si="12"/>
        <v>995483070.71000004</v>
      </c>
      <c r="R59" s="395" t="b">
        <f>Q59=[7]Exhibit!Q59</f>
        <v>1</v>
      </c>
    </row>
    <row r="60" spans="2:18" x14ac:dyDescent="0.2">
      <c r="B60" s="848"/>
      <c r="C60" s="853" t="s">
        <v>305</v>
      </c>
      <c r="D60" s="854"/>
      <c r="E60" s="400">
        <f>[7]Exhibit!E60</f>
        <v>1347917.34</v>
      </c>
      <c r="F60" s="409">
        <f>[7]Exhibit!F60</f>
        <v>300323.59999999998</v>
      </c>
      <c r="G60" s="409">
        <f>[7]Exhibit!G60</f>
        <v>88468.1</v>
      </c>
      <c r="H60" s="409">
        <f>[7]Exhibit!H60</f>
        <v>0</v>
      </c>
      <c r="I60" s="409">
        <f>[7]Exhibit!I60</f>
        <v>0</v>
      </c>
      <c r="J60" s="409">
        <f>[7]Exhibit!J60</f>
        <v>0</v>
      </c>
      <c r="K60" s="409">
        <f>[7]Exhibit!K60</f>
        <v>0</v>
      </c>
      <c r="L60" s="409">
        <f>[7]Exhibit!L60</f>
        <v>0</v>
      </c>
      <c r="M60" s="409">
        <f>[7]Exhibit!M60</f>
        <v>-114734.05</v>
      </c>
      <c r="N60" s="409">
        <f>[7]Exhibit!N60</f>
        <v>0</v>
      </c>
      <c r="O60" s="409">
        <f>[7]Exhibit!O60</f>
        <v>0</v>
      </c>
      <c r="P60" s="440">
        <f>[7]Exhibit!P60</f>
        <v>-8389.17</v>
      </c>
      <c r="Q60" s="431">
        <f t="shared" si="12"/>
        <v>1613585.82</v>
      </c>
      <c r="R60" s="395" t="b">
        <f>Q60=[7]Exhibit!Q60</f>
        <v>1</v>
      </c>
    </row>
    <row r="61" spans="2:18" ht="16.5" thickBot="1" x14ac:dyDescent="0.25">
      <c r="B61" s="848"/>
      <c r="C61" s="855" t="s">
        <v>306</v>
      </c>
      <c r="D61" s="856"/>
      <c r="E61" s="403">
        <f>[7]Exhibit!E61</f>
        <v>67618.789999999994</v>
      </c>
      <c r="F61" s="403">
        <f>[7]Exhibit!F61</f>
        <v>75719.360000000001</v>
      </c>
      <c r="G61" s="403">
        <f>[7]Exhibit!G61</f>
        <v>94344.12</v>
      </c>
      <c r="H61" s="403">
        <f>[7]Exhibit!H61</f>
        <v>50475.35</v>
      </c>
      <c r="I61" s="403">
        <f>[7]Exhibit!I61</f>
        <v>100653.75999999999</v>
      </c>
      <c r="J61" s="403">
        <f>[7]Exhibit!J61</f>
        <v>127096.27</v>
      </c>
      <c r="K61" s="403">
        <f>[7]Exhibit!K61</f>
        <v>70911.37</v>
      </c>
      <c r="L61" s="403">
        <f>[7]Exhibit!L61</f>
        <v>110351.64</v>
      </c>
      <c r="M61" s="403">
        <f>[7]Exhibit!M61</f>
        <v>117585.95</v>
      </c>
      <c r="N61" s="403">
        <f>[7]Exhibit!N61</f>
        <v>122940.18</v>
      </c>
      <c r="O61" s="403">
        <f>[7]Exhibit!O61</f>
        <v>154102.35</v>
      </c>
      <c r="P61" s="437">
        <f>[7]Exhibit!P61</f>
        <v>118754.35</v>
      </c>
      <c r="Q61" s="428">
        <f t="shared" si="12"/>
        <v>1210553.4900000002</v>
      </c>
      <c r="R61" s="395" t="b">
        <f>Q61=[7]Exhibit!Q61</f>
        <v>1</v>
      </c>
    </row>
    <row r="62" spans="2:18" ht="16.5" thickTop="1" x14ac:dyDescent="0.2">
      <c r="B62" s="848"/>
      <c r="C62" s="853" t="s">
        <v>146</v>
      </c>
      <c r="D62" s="854"/>
      <c r="E62" s="411">
        <f>E59+E60+E61</f>
        <v>59458501.450000003</v>
      </c>
      <c r="F62" s="411">
        <f t="shared" ref="F62:P62" si="14">F59+F60+F61</f>
        <v>64756770.709999993</v>
      </c>
      <c r="G62" s="411">
        <f t="shared" si="14"/>
        <v>83160725.549999997</v>
      </c>
      <c r="H62" s="411">
        <f t="shared" si="14"/>
        <v>64345603.550000012</v>
      </c>
      <c r="I62" s="411">
        <f t="shared" si="14"/>
        <v>73126118.700000018</v>
      </c>
      <c r="J62" s="411">
        <f t="shared" si="14"/>
        <v>85583614.300000012</v>
      </c>
      <c r="K62" s="411">
        <f t="shared" si="14"/>
        <v>75671410.01000002</v>
      </c>
      <c r="L62" s="411">
        <f t="shared" si="14"/>
        <v>84374819.810000032</v>
      </c>
      <c r="M62" s="411">
        <f t="shared" si="14"/>
        <v>101524560.71000001</v>
      </c>
      <c r="N62" s="411">
        <f t="shared" si="14"/>
        <v>86563734.140000001</v>
      </c>
      <c r="O62" s="411">
        <f t="shared" si="14"/>
        <v>96192649.640000001</v>
      </c>
      <c r="P62" s="441">
        <f t="shared" si="14"/>
        <v>123548701.44999997</v>
      </c>
      <c r="Q62" s="431">
        <f t="shared" si="12"/>
        <v>998307210.0200001</v>
      </c>
      <c r="R62" s="395" t="b">
        <f>Q62=[7]Exhibit!Q62</f>
        <v>1</v>
      </c>
    </row>
    <row r="63" spans="2:18" x14ac:dyDescent="0.2">
      <c r="B63" s="848"/>
      <c r="C63" s="857" t="s">
        <v>112</v>
      </c>
      <c r="D63" s="858"/>
      <c r="E63" s="412">
        <f>[7]Exhibit!E63</f>
        <v>166313</v>
      </c>
      <c r="F63" s="412">
        <f>[7]Exhibit!F63</f>
        <v>164589</v>
      </c>
      <c r="G63" s="412">
        <f>[7]Exhibit!G63</f>
        <v>175924</v>
      </c>
      <c r="H63" s="412">
        <f>[7]Exhibit!H63</f>
        <v>180706</v>
      </c>
      <c r="I63" s="412">
        <f>[7]Exhibit!I63</f>
        <v>186477</v>
      </c>
      <c r="J63" s="412">
        <f>[7]Exhibit!J63</f>
        <v>195625</v>
      </c>
      <c r="K63" s="412">
        <f>[7]Exhibit!K63</f>
        <v>199866</v>
      </c>
      <c r="L63" s="412">
        <f>[7]Exhibit!L63</f>
        <v>217664</v>
      </c>
      <c r="M63" s="412">
        <f>[7]Exhibit!M63</f>
        <v>224449</v>
      </c>
      <c r="N63" s="412">
        <f>[7]Exhibit!N63</f>
        <v>235118</v>
      </c>
      <c r="O63" s="412">
        <f>[7]Exhibit!O63</f>
        <v>261360</v>
      </c>
      <c r="P63" s="442">
        <f>[7]Exhibit!P63</f>
        <v>292363</v>
      </c>
      <c r="Q63" s="432">
        <f>AVERAGE(E63:P63)</f>
        <v>208371.16666666666</v>
      </c>
      <c r="R63" s="395" t="b">
        <f>Q63=[7]Exhibit!Q63</f>
        <v>1</v>
      </c>
    </row>
    <row r="64" spans="2:18" ht="16.5" thickBot="1" x14ac:dyDescent="0.25">
      <c r="B64" s="849"/>
      <c r="C64" s="859" t="s">
        <v>307</v>
      </c>
      <c r="D64" s="860"/>
      <c r="E64" s="416">
        <f>[7]Exhibit!E64</f>
        <v>357.50964416491797</v>
      </c>
      <c r="F64" s="415">
        <f>[7]Exhibit!F64</f>
        <v>393.44531353857178</v>
      </c>
      <c r="G64" s="415">
        <f>[7]Exhibit!G64</f>
        <v>472.70824645869806</v>
      </c>
      <c r="H64" s="415">
        <f>[7]Exhibit!H64</f>
        <v>356.07895448961301</v>
      </c>
      <c r="I64" s="415">
        <f>[7]Exhibit!I64</f>
        <v>392.14551231519181</v>
      </c>
      <c r="J64" s="415">
        <f>[7]Exhibit!J64</f>
        <v>437.48812421725245</v>
      </c>
      <c r="K64" s="416">
        <f>[7]Exhibit!K64</f>
        <v>378.61071923188547</v>
      </c>
      <c r="L64" s="416">
        <f>[7]Exhibit!L64</f>
        <v>387.63791812150851</v>
      </c>
      <c r="M64" s="416">
        <f>[7]Exhibit!M64</f>
        <v>452.3279707639598</v>
      </c>
      <c r="N64" s="416">
        <f>[7]Exhibit!N64</f>
        <v>368.17144642264736</v>
      </c>
      <c r="O64" s="416">
        <f>[7]Exhibit!O64</f>
        <v>368.0465627486991</v>
      </c>
      <c r="P64" s="443">
        <f>[7]Exhibit!P64</f>
        <v>422.5866523807731</v>
      </c>
      <c r="Q64" s="445">
        <f>Q62/Q63</f>
        <v>4791.0045616676016</v>
      </c>
      <c r="R64" s="395" t="b">
        <f>Q64=[7]Exhibit!Q64</f>
        <v>1</v>
      </c>
    </row>
    <row r="65" spans="2:18" x14ac:dyDescent="0.2">
      <c r="B65" s="848" t="s">
        <v>308</v>
      </c>
      <c r="C65" s="850" t="s">
        <v>301</v>
      </c>
      <c r="D65" s="396" t="s">
        <v>49</v>
      </c>
      <c r="E65" s="397">
        <f>[7]Exhibit!E65</f>
        <v>66951215.049999997</v>
      </c>
      <c r="F65" s="397">
        <f>[7]Exhibit!F65</f>
        <v>74347086.839999989</v>
      </c>
      <c r="G65" s="397">
        <f>[7]Exhibit!G65</f>
        <v>96699887.409999996</v>
      </c>
      <c r="H65" s="397">
        <f>[7]Exhibit!H65</f>
        <v>74995464.870000005</v>
      </c>
      <c r="I65" s="397">
        <f>[7]Exhibit!I65</f>
        <v>85409358.120000005</v>
      </c>
      <c r="J65" s="397">
        <f>[7]Exhibit!J65</f>
        <v>100509295.40000001</v>
      </c>
      <c r="K65" s="397">
        <f>[7]Exhibit!K65</f>
        <v>88573946.319999993</v>
      </c>
      <c r="L65" s="397">
        <f>[7]Exhibit!L65</f>
        <v>98674874.430000022</v>
      </c>
      <c r="M65" s="397">
        <f>[7]Exhibit!M65</f>
        <v>118954705.61999999</v>
      </c>
      <c r="N65" s="397">
        <f>[7]Exhibit!N65</f>
        <v>98362057.00999999</v>
      </c>
      <c r="O65" s="397">
        <f>[7]Exhibit!O65</f>
        <v>104488008.04000001</v>
      </c>
      <c r="P65" s="435">
        <f>[7]Exhibit!P65</f>
        <v>129094369.92999999</v>
      </c>
      <c r="Q65" s="426">
        <f>SUM(E65:P65)</f>
        <v>1137060269.04</v>
      </c>
      <c r="R65" s="395" t="b">
        <f>Q65=[7]Exhibit!Q65</f>
        <v>1</v>
      </c>
    </row>
    <row r="66" spans="2:18" x14ac:dyDescent="0.2">
      <c r="B66" s="848"/>
      <c r="C66" s="851"/>
      <c r="D66" s="399" t="s">
        <v>302</v>
      </c>
      <c r="E66" s="400">
        <f>[7]Exhibit!E66</f>
        <v>212967.42</v>
      </c>
      <c r="F66" s="400">
        <f>[7]Exhibit!F66</f>
        <v>167965.22</v>
      </c>
      <c r="G66" s="400">
        <f>[7]Exhibit!G66</f>
        <v>257368.01</v>
      </c>
      <c r="H66" s="400">
        <f>[7]Exhibit!H66</f>
        <v>238409.48999999996</v>
      </c>
      <c r="I66" s="400">
        <f>[7]Exhibit!I66</f>
        <v>200318.03999999998</v>
      </c>
      <c r="J66" s="400">
        <f>[7]Exhibit!J66</f>
        <v>255013.19999999998</v>
      </c>
      <c r="K66" s="400">
        <f>[7]Exhibit!K66</f>
        <v>252644.56</v>
      </c>
      <c r="L66" s="400">
        <f>[7]Exhibit!L66</f>
        <v>216087.46</v>
      </c>
      <c r="M66" s="400">
        <f>[7]Exhibit!M66</f>
        <v>290917.81</v>
      </c>
      <c r="N66" s="400">
        <f>[7]Exhibit!N66</f>
        <v>297780.43</v>
      </c>
      <c r="O66" s="400">
        <f>[7]Exhibit!O66</f>
        <v>255450.88</v>
      </c>
      <c r="P66" s="436">
        <f>[7]Exhibit!P66</f>
        <v>298389.3</v>
      </c>
      <c r="Q66" s="427">
        <f t="shared" ref="Q66:Q73" si="15">SUM(E66:P66)</f>
        <v>2943311.82</v>
      </c>
      <c r="R66" s="395" t="b">
        <f>Q66=[7]Exhibit!Q66</f>
        <v>1</v>
      </c>
    </row>
    <row r="67" spans="2:18" x14ac:dyDescent="0.2">
      <c r="B67" s="848"/>
      <c r="C67" s="851"/>
      <c r="D67" s="399" t="s">
        <v>67</v>
      </c>
      <c r="E67" s="400">
        <f>[7]Exhibit!E67</f>
        <v>101087.55</v>
      </c>
      <c r="F67" s="400">
        <f>[7]Exhibit!F67</f>
        <v>79024.789999999994</v>
      </c>
      <c r="G67" s="400">
        <f>[7]Exhibit!G67</f>
        <v>117758.34</v>
      </c>
      <c r="H67" s="400">
        <f>[7]Exhibit!H67</f>
        <v>162896.26999999999</v>
      </c>
      <c r="I67" s="400">
        <f>[7]Exhibit!I67</f>
        <v>144617.25</v>
      </c>
      <c r="J67" s="400">
        <f>[7]Exhibit!J67</f>
        <v>123211.98999999999</v>
      </c>
      <c r="K67" s="400">
        <f>[7]Exhibit!K67</f>
        <v>188394.58000000002</v>
      </c>
      <c r="L67" s="400">
        <f>[7]Exhibit!L67</f>
        <v>149054.63</v>
      </c>
      <c r="M67" s="400">
        <f>[7]Exhibit!M67</f>
        <v>138007.51999999999</v>
      </c>
      <c r="N67" s="400">
        <f>[7]Exhibit!N67</f>
        <v>104958.95</v>
      </c>
      <c r="O67" s="400">
        <f>[7]Exhibit!O67</f>
        <v>83641.63</v>
      </c>
      <c r="P67" s="436">
        <f>[7]Exhibit!P67</f>
        <v>214626.49</v>
      </c>
      <c r="Q67" s="427">
        <f t="shared" si="15"/>
        <v>1607279.99</v>
      </c>
      <c r="R67" s="395" t="b">
        <f>Q67=[7]Exhibit!Q67</f>
        <v>1</v>
      </c>
    </row>
    <row r="68" spans="2:18" ht="16.5" thickBot="1" x14ac:dyDescent="0.25">
      <c r="B68" s="848"/>
      <c r="C68" s="851"/>
      <c r="D68" s="402" t="s">
        <v>303</v>
      </c>
      <c r="E68" s="403">
        <f>[7]Exhibit!E68</f>
        <v>1768275.5799999998</v>
      </c>
      <c r="F68" s="403">
        <f>[7]Exhibit!F68</f>
        <v>1839659.22</v>
      </c>
      <c r="G68" s="403">
        <f>[7]Exhibit!G68</f>
        <v>2062607.54</v>
      </c>
      <c r="H68" s="403">
        <f>[7]Exhibit!H68</f>
        <v>1980029.96</v>
      </c>
      <c r="I68" s="403">
        <f>[7]Exhibit!I68</f>
        <v>2001525.02</v>
      </c>
      <c r="J68" s="403">
        <f>[7]Exhibit!J68</f>
        <v>1982031.54</v>
      </c>
      <c r="K68" s="403">
        <f>[7]Exhibit!K68</f>
        <v>2010257.42</v>
      </c>
      <c r="L68" s="403">
        <f>[7]Exhibit!L68</f>
        <v>2071896.76</v>
      </c>
      <c r="M68" s="403">
        <f>[7]Exhibit!M68</f>
        <v>2182492.77</v>
      </c>
      <c r="N68" s="403">
        <f>[7]Exhibit!N68</f>
        <v>2305575.06</v>
      </c>
      <c r="O68" s="403">
        <f>[7]Exhibit!O68</f>
        <v>2435516.38</v>
      </c>
      <c r="P68" s="437">
        <f>[7]Exhibit!P68</f>
        <v>2484474.8699999996</v>
      </c>
      <c r="Q68" s="428">
        <f t="shared" si="15"/>
        <v>25124342.119999997</v>
      </c>
      <c r="R68" s="395" t="b">
        <f>Q68=[7]Exhibit!Q68</f>
        <v>1</v>
      </c>
    </row>
    <row r="69" spans="2:18" ht="17.25" hidden="1" thickTop="1" thickBot="1" x14ac:dyDescent="0.25">
      <c r="B69" s="848"/>
      <c r="C69" s="851"/>
      <c r="D69" s="405" t="s">
        <v>72</v>
      </c>
      <c r="E69" s="406">
        <v>0</v>
      </c>
      <c r="F69" s="406">
        <v>0</v>
      </c>
      <c r="G69" s="406">
        <v>0</v>
      </c>
      <c r="H69" s="406">
        <v>0</v>
      </c>
      <c r="I69" s="406">
        <v>0</v>
      </c>
      <c r="J69" s="406">
        <v>0</v>
      </c>
      <c r="K69" s="406">
        <v>0</v>
      </c>
      <c r="L69" s="406">
        <v>0</v>
      </c>
      <c r="M69" s="406">
        <v>0</v>
      </c>
      <c r="N69" s="406">
        <v>0</v>
      </c>
      <c r="O69" s="406">
        <v>0</v>
      </c>
      <c r="P69" s="438">
        <v>0</v>
      </c>
      <c r="Q69" s="429">
        <f t="shared" si="15"/>
        <v>0</v>
      </c>
      <c r="R69" s="395" t="b">
        <f>Q69=[7]Exhibit!Q69</f>
        <v>1</v>
      </c>
    </row>
    <row r="70" spans="2:18" ht="17.25" thickTop="1" thickBot="1" x14ac:dyDescent="0.25">
      <c r="B70" s="848"/>
      <c r="C70" s="852"/>
      <c r="D70" s="418" t="s">
        <v>304</v>
      </c>
      <c r="E70" s="408">
        <f>SUM(E65:E69)</f>
        <v>69033545.599999994</v>
      </c>
      <c r="F70" s="419">
        <f t="shared" ref="F70:P70" si="16">SUM(F65:F69)</f>
        <v>76433736.069999993</v>
      </c>
      <c r="G70" s="419">
        <f t="shared" si="16"/>
        <v>99137621.300000012</v>
      </c>
      <c r="H70" s="419">
        <f t="shared" si="16"/>
        <v>77376800.589999989</v>
      </c>
      <c r="I70" s="419">
        <f t="shared" si="16"/>
        <v>87755818.430000007</v>
      </c>
      <c r="J70" s="419">
        <f t="shared" si="16"/>
        <v>102869552.13000001</v>
      </c>
      <c r="K70" s="419">
        <f t="shared" si="16"/>
        <v>91025242.879999995</v>
      </c>
      <c r="L70" s="419">
        <f t="shared" si="16"/>
        <v>101111913.28000002</v>
      </c>
      <c r="M70" s="419">
        <f t="shared" si="16"/>
        <v>121566123.71999998</v>
      </c>
      <c r="N70" s="419">
        <f t="shared" si="16"/>
        <v>101070371.45</v>
      </c>
      <c r="O70" s="419">
        <f t="shared" si="16"/>
        <v>107262616.92999999</v>
      </c>
      <c r="P70" s="444">
        <f t="shared" si="16"/>
        <v>132091860.58999999</v>
      </c>
      <c r="Q70" s="433">
        <f t="shared" si="15"/>
        <v>1166735202.97</v>
      </c>
      <c r="R70" s="395" t="b">
        <f>Q70=[7]Exhibit!Q70</f>
        <v>1</v>
      </c>
    </row>
    <row r="71" spans="2:18" x14ac:dyDescent="0.2">
      <c r="B71" s="848"/>
      <c r="C71" s="853" t="s">
        <v>305</v>
      </c>
      <c r="D71" s="854"/>
      <c r="E71" s="400">
        <f>[7]Exhibit!E71</f>
        <v>1580645.28</v>
      </c>
      <c r="F71" s="409">
        <f>[7]Exhibit!F71</f>
        <v>433312.51</v>
      </c>
      <c r="G71" s="409">
        <f>[7]Exhibit!G71</f>
        <v>136299.13</v>
      </c>
      <c r="H71" s="409">
        <f>[7]Exhibit!H71</f>
        <v>0</v>
      </c>
      <c r="I71" s="409">
        <f>[7]Exhibit!I71</f>
        <v>0</v>
      </c>
      <c r="J71" s="409">
        <f>[7]Exhibit!J71</f>
        <v>0</v>
      </c>
      <c r="K71" s="409">
        <f>[7]Exhibit!K71</f>
        <v>0</v>
      </c>
      <c r="L71" s="409">
        <f>[7]Exhibit!L71</f>
        <v>0</v>
      </c>
      <c r="M71" s="409">
        <f>[7]Exhibit!M71</f>
        <v>-118975.08</v>
      </c>
      <c r="N71" s="409">
        <f>[7]Exhibit!N71</f>
        <v>0</v>
      </c>
      <c r="O71" s="409">
        <f>[7]Exhibit!O71</f>
        <v>0</v>
      </c>
      <c r="P71" s="440">
        <f>[7]Exhibit!P71</f>
        <v>-8509.59</v>
      </c>
      <c r="Q71" s="431">
        <f t="shared" si="15"/>
        <v>2022772.2499999998</v>
      </c>
      <c r="R71" s="395" t="b">
        <f>Q71=[7]Exhibit!Q71</f>
        <v>1</v>
      </c>
    </row>
    <row r="72" spans="2:18" ht="16.5" thickBot="1" x14ac:dyDescent="0.25">
      <c r="B72" s="848"/>
      <c r="C72" s="855" t="s">
        <v>306</v>
      </c>
      <c r="D72" s="856"/>
      <c r="E72" s="403">
        <f>[7]Exhibit!E72</f>
        <v>67978.789999999994</v>
      </c>
      <c r="F72" s="403">
        <f>[7]Exhibit!F72</f>
        <v>75719.360000000001</v>
      </c>
      <c r="G72" s="403">
        <f>[7]Exhibit!G72</f>
        <v>98980.44</v>
      </c>
      <c r="H72" s="403">
        <f>[7]Exhibit!H72</f>
        <v>50875.35</v>
      </c>
      <c r="I72" s="403">
        <f>[7]Exhibit!I72</f>
        <v>103087.92</v>
      </c>
      <c r="J72" s="403">
        <f>[7]Exhibit!J72</f>
        <v>131833.63</v>
      </c>
      <c r="K72" s="403">
        <f>[7]Exhibit!K72</f>
        <v>74374.569999999992</v>
      </c>
      <c r="L72" s="403">
        <f>[7]Exhibit!L72</f>
        <v>113218.59</v>
      </c>
      <c r="M72" s="403">
        <f>[7]Exhibit!M72</f>
        <v>120997.67</v>
      </c>
      <c r="N72" s="403">
        <f>[7]Exhibit!N72</f>
        <v>126616.18999999999</v>
      </c>
      <c r="O72" s="403">
        <f>[7]Exhibit!O72</f>
        <v>172373.11000000002</v>
      </c>
      <c r="P72" s="437">
        <f>[7]Exhibit!P72</f>
        <v>121954.23000000001</v>
      </c>
      <c r="Q72" s="428">
        <f t="shared" si="15"/>
        <v>1258009.8499999999</v>
      </c>
      <c r="R72" s="395" t="b">
        <f>Q72=[7]Exhibit!Q72</f>
        <v>1</v>
      </c>
    </row>
    <row r="73" spans="2:18" ht="16.5" thickTop="1" x14ac:dyDescent="0.2">
      <c r="B73" s="848"/>
      <c r="C73" s="853" t="s">
        <v>146</v>
      </c>
      <c r="D73" s="854"/>
      <c r="E73" s="411">
        <f>E70+E71+E72</f>
        <v>70682169.670000002</v>
      </c>
      <c r="F73" s="411">
        <f t="shared" ref="F73:P73" si="17">F70+F71+F72</f>
        <v>76942767.939999998</v>
      </c>
      <c r="G73" s="411">
        <f t="shared" si="17"/>
        <v>99372900.870000005</v>
      </c>
      <c r="H73" s="411">
        <f t="shared" si="17"/>
        <v>77427675.939999983</v>
      </c>
      <c r="I73" s="411">
        <f t="shared" si="17"/>
        <v>87858906.350000009</v>
      </c>
      <c r="J73" s="411">
        <f t="shared" si="17"/>
        <v>103001385.76000001</v>
      </c>
      <c r="K73" s="411">
        <f t="shared" si="17"/>
        <v>91099617.449999988</v>
      </c>
      <c r="L73" s="411">
        <f t="shared" si="17"/>
        <v>101225131.87000002</v>
      </c>
      <c r="M73" s="411">
        <f t="shared" si="17"/>
        <v>121568146.30999999</v>
      </c>
      <c r="N73" s="411">
        <f t="shared" si="17"/>
        <v>101196987.64</v>
      </c>
      <c r="O73" s="411">
        <f t="shared" si="17"/>
        <v>107434990.03999999</v>
      </c>
      <c r="P73" s="441">
        <f t="shared" si="17"/>
        <v>132205305.22999999</v>
      </c>
      <c r="Q73" s="431">
        <f t="shared" si="15"/>
        <v>1170015985.0699999</v>
      </c>
      <c r="R73" s="395" t="b">
        <f>Q73=[7]Exhibit!Q73</f>
        <v>1</v>
      </c>
    </row>
    <row r="74" spans="2:18" x14ac:dyDescent="0.2">
      <c r="B74" s="848"/>
      <c r="C74" s="857" t="s">
        <v>112</v>
      </c>
      <c r="D74" s="858"/>
      <c r="E74" s="412">
        <f>[7]Exhibit!E74</f>
        <v>223370</v>
      </c>
      <c r="F74" s="412">
        <f>[7]Exhibit!F74</f>
        <v>221675</v>
      </c>
      <c r="G74" s="412">
        <f>[7]Exhibit!G74</f>
        <v>236304</v>
      </c>
      <c r="H74" s="412">
        <f>[7]Exhibit!H74</f>
        <v>241027</v>
      </c>
      <c r="I74" s="412">
        <f>[7]Exhibit!I74</f>
        <v>251529</v>
      </c>
      <c r="J74" s="412">
        <f>[7]Exhibit!J74</f>
        <v>264041</v>
      </c>
      <c r="K74" s="412">
        <f>[7]Exhibit!K74</f>
        <v>265062</v>
      </c>
      <c r="L74" s="412">
        <f>[7]Exhibit!L74</f>
        <v>290898</v>
      </c>
      <c r="M74" s="412">
        <f>[7]Exhibit!M74</f>
        <v>296675</v>
      </c>
      <c r="N74" s="412">
        <f>[7]Exhibit!N74</f>
        <v>298918</v>
      </c>
      <c r="O74" s="412">
        <f>[7]Exhibit!O74</f>
        <v>311848</v>
      </c>
      <c r="P74" s="442">
        <f>[7]Exhibit!P74</f>
        <v>355845</v>
      </c>
      <c r="Q74" s="432">
        <f>AVERAGE(E74:P74)</f>
        <v>271432.66666666669</v>
      </c>
      <c r="R74" s="395" t="b">
        <f>Q74=[7]Exhibit!Q74</f>
        <v>1</v>
      </c>
    </row>
    <row r="75" spans="2:18" ht="16.5" thickBot="1" x14ac:dyDescent="0.25">
      <c r="B75" s="849"/>
      <c r="C75" s="859" t="s">
        <v>307</v>
      </c>
      <c r="D75" s="860"/>
      <c r="E75" s="416">
        <f>[7]Exhibit!E75</f>
        <v>316.43537480413664</v>
      </c>
      <c r="F75" s="415">
        <f>[7]Exhibit!F75</f>
        <v>347.0971825420097</v>
      </c>
      <c r="G75" s="415">
        <f>[7]Exhibit!G75</f>
        <v>420.52991430530165</v>
      </c>
      <c r="H75" s="415">
        <f>[7]Exhibit!H75</f>
        <v>321.24067403236972</v>
      </c>
      <c r="I75" s="415">
        <f>[7]Exhibit!I75</f>
        <v>349.29931081505515</v>
      </c>
      <c r="J75" s="415">
        <f>[7]Exhibit!J75</f>
        <v>390.09618112338615</v>
      </c>
      <c r="K75" s="416">
        <f>[7]Exhibit!K75</f>
        <v>343.69173042533441</v>
      </c>
      <c r="L75" s="416">
        <f>[7]Exhibit!L75</f>
        <v>347.97465733693605</v>
      </c>
      <c r="M75" s="416">
        <f>[7]Exhibit!M75</f>
        <v>409.76875810230047</v>
      </c>
      <c r="N75" s="416">
        <f>[7]Exhibit!N75</f>
        <v>338.54430860637365</v>
      </c>
      <c r="O75" s="416">
        <f>[7]Exhibit!O75</f>
        <v>344.51075536799976</v>
      </c>
      <c r="P75" s="443">
        <f>[7]Exhibit!P75</f>
        <v>371.52497640826761</v>
      </c>
      <c r="Q75" s="445">
        <f>Q73/Q74</f>
        <v>4310.5201722342426</v>
      </c>
      <c r="R75" s="395" t="b">
        <f>Q75=[7]Exhibit!Q75</f>
        <v>1</v>
      </c>
    </row>
    <row r="76" spans="2:18" x14ac:dyDescent="0.2">
      <c r="B76" s="861" t="s">
        <v>24</v>
      </c>
      <c r="C76" s="861"/>
      <c r="D76" s="861"/>
      <c r="E76" s="861"/>
      <c r="F76" s="861"/>
      <c r="G76" s="861"/>
      <c r="H76" s="861"/>
      <c r="I76" s="861"/>
      <c r="J76" s="861"/>
      <c r="K76" s="861"/>
      <c r="L76" s="861"/>
      <c r="M76" s="861"/>
      <c r="N76" s="861"/>
      <c r="O76" s="861"/>
      <c r="P76" s="861"/>
      <c r="Q76" s="861"/>
    </row>
    <row r="77" spans="2:18" ht="15.75" customHeight="1" x14ac:dyDescent="0.2">
      <c r="B77" s="862" t="s">
        <v>309</v>
      </c>
      <c r="C77" s="862"/>
      <c r="D77" s="862"/>
      <c r="E77" s="862"/>
      <c r="F77" s="862"/>
      <c r="G77" s="862"/>
      <c r="H77" s="862"/>
      <c r="I77" s="862"/>
      <c r="J77" s="862"/>
      <c r="K77" s="862"/>
      <c r="L77" s="862"/>
      <c r="M77" s="862"/>
      <c r="N77" s="862"/>
      <c r="O77" s="862"/>
      <c r="P77" s="862"/>
      <c r="Q77" s="862"/>
    </row>
    <row r="78" spans="2:18" ht="15.75" customHeight="1" x14ac:dyDescent="0.2">
      <c r="B78" s="863" t="s">
        <v>314</v>
      </c>
      <c r="C78" s="863"/>
      <c r="D78" s="863"/>
      <c r="E78" s="863"/>
      <c r="F78" s="863"/>
      <c r="G78" s="863"/>
      <c r="H78" s="863"/>
      <c r="I78" s="863"/>
      <c r="J78" s="863"/>
      <c r="K78" s="863"/>
      <c r="L78" s="863"/>
      <c r="M78" s="863"/>
      <c r="N78" s="863"/>
      <c r="O78" s="863"/>
      <c r="P78" s="863"/>
      <c r="Q78" s="863"/>
    </row>
    <row r="80" spans="2:18" ht="16.5" thickBot="1" x14ac:dyDescent="0.25">
      <c r="B80" s="844" t="s">
        <v>313</v>
      </c>
      <c r="C80" s="844"/>
      <c r="D80" s="844"/>
      <c r="E80" s="844"/>
      <c r="F80" s="844"/>
      <c r="G80" s="844"/>
      <c r="H80" s="844"/>
      <c r="I80" s="844"/>
      <c r="J80" s="844"/>
      <c r="K80" s="844"/>
      <c r="L80" s="844"/>
      <c r="M80" s="844"/>
      <c r="N80" s="844"/>
      <c r="O80" s="844"/>
      <c r="P80" s="844"/>
      <c r="Q80" s="844"/>
    </row>
    <row r="81" spans="2:17" ht="16.5" thickBot="1" x14ac:dyDescent="0.25">
      <c r="B81" s="391" t="s">
        <v>298</v>
      </c>
      <c r="C81" s="845" t="s">
        <v>48</v>
      </c>
      <c r="D81" s="846"/>
      <c r="E81" s="392">
        <v>42186</v>
      </c>
      <c r="F81" s="393">
        <v>42217</v>
      </c>
      <c r="G81" s="393">
        <v>42248</v>
      </c>
      <c r="H81" s="393">
        <v>42278</v>
      </c>
      <c r="I81" s="393">
        <v>42309</v>
      </c>
      <c r="J81" s="393">
        <v>42339</v>
      </c>
      <c r="K81" s="393">
        <v>42370</v>
      </c>
      <c r="L81" s="393">
        <v>42401</v>
      </c>
      <c r="M81" s="393">
        <v>42430</v>
      </c>
      <c r="N81" s="393">
        <v>42461</v>
      </c>
      <c r="O81" s="393">
        <v>42491</v>
      </c>
      <c r="P81" s="393">
        <v>42522</v>
      </c>
      <c r="Q81" s="394" t="s">
        <v>276</v>
      </c>
    </row>
    <row r="82" spans="2:17" x14ac:dyDescent="0.2">
      <c r="B82" s="847" t="s">
        <v>300</v>
      </c>
      <c r="C82" s="850" t="s">
        <v>301</v>
      </c>
      <c r="D82" s="420" t="s">
        <v>49</v>
      </c>
      <c r="E82" s="397"/>
      <c r="F82" s="397">
        <v>8566874.1500000004</v>
      </c>
      <c r="G82" s="397">
        <v>6861785.040000001</v>
      </c>
      <c r="H82" s="397">
        <v>7141601.4100000001</v>
      </c>
      <c r="I82" s="397"/>
      <c r="J82" s="397"/>
      <c r="K82" s="397"/>
      <c r="L82" s="397"/>
      <c r="M82" s="397"/>
      <c r="N82" s="397"/>
      <c r="O82" s="397"/>
      <c r="P82" s="397"/>
      <c r="Q82" s="398">
        <f>SUM(E82:P82)</f>
        <v>22570260.600000001</v>
      </c>
    </row>
    <row r="83" spans="2:17" x14ac:dyDescent="0.2">
      <c r="B83" s="848"/>
      <c r="C83" s="851"/>
      <c r="D83" s="421" t="s">
        <v>302</v>
      </c>
      <c r="E83" s="400"/>
      <c r="F83" s="400">
        <v>359.25</v>
      </c>
      <c r="G83" s="400">
        <v>491.29</v>
      </c>
      <c r="H83" s="400">
        <v>2271</v>
      </c>
      <c r="I83" s="400"/>
      <c r="J83" s="400"/>
      <c r="K83" s="400"/>
      <c r="L83" s="400"/>
      <c r="M83" s="400"/>
      <c r="N83" s="400"/>
      <c r="O83" s="400"/>
      <c r="P83" s="400"/>
      <c r="Q83" s="401">
        <f t="shared" ref="Q83:Q90" si="18">SUM(E83:P83)</f>
        <v>3121.54</v>
      </c>
    </row>
    <row r="84" spans="2:17" x14ac:dyDescent="0.2">
      <c r="B84" s="848"/>
      <c r="C84" s="851"/>
      <c r="D84" s="421" t="s">
        <v>67</v>
      </c>
      <c r="E84" s="400"/>
      <c r="F84" s="400">
        <v>0</v>
      </c>
      <c r="G84" s="400">
        <v>0</v>
      </c>
      <c r="H84" s="400">
        <v>0</v>
      </c>
      <c r="I84" s="400"/>
      <c r="J84" s="400"/>
      <c r="K84" s="400"/>
      <c r="L84" s="400"/>
      <c r="M84" s="400"/>
      <c r="N84" s="400"/>
      <c r="O84" s="400"/>
      <c r="P84" s="400"/>
      <c r="Q84" s="401">
        <f t="shared" si="18"/>
        <v>0</v>
      </c>
    </row>
    <row r="85" spans="2:17" x14ac:dyDescent="0.2">
      <c r="B85" s="848"/>
      <c r="C85" s="851"/>
      <c r="D85" s="421" t="s">
        <v>303</v>
      </c>
      <c r="E85" s="400"/>
      <c r="F85" s="400">
        <v>247224.83</v>
      </c>
      <c r="G85" s="400">
        <v>265894.2</v>
      </c>
      <c r="H85" s="400">
        <v>277106.90999999997</v>
      </c>
      <c r="I85" s="400"/>
      <c r="J85" s="400"/>
      <c r="K85" s="400"/>
      <c r="L85" s="400"/>
      <c r="M85" s="400"/>
      <c r="N85" s="400"/>
      <c r="O85" s="400"/>
      <c r="P85" s="400"/>
      <c r="Q85" s="401">
        <f t="shared" si="18"/>
        <v>790225.94</v>
      </c>
    </row>
    <row r="86" spans="2:17" ht="16.5" thickBot="1" x14ac:dyDescent="0.25">
      <c r="B86" s="848"/>
      <c r="C86" s="851"/>
      <c r="D86" s="422" t="s">
        <v>72</v>
      </c>
      <c r="E86" s="403"/>
      <c r="F86" s="403">
        <v>0</v>
      </c>
      <c r="G86" s="403">
        <v>0</v>
      </c>
      <c r="H86" s="403">
        <v>0</v>
      </c>
      <c r="I86" s="403"/>
      <c r="J86" s="403"/>
      <c r="K86" s="403"/>
      <c r="L86" s="403"/>
      <c r="M86" s="403"/>
      <c r="N86" s="403"/>
      <c r="O86" s="403"/>
      <c r="P86" s="403"/>
      <c r="Q86" s="404">
        <f t="shared" si="18"/>
        <v>0</v>
      </c>
    </row>
    <row r="87" spans="2:17" ht="16.5" thickTop="1" x14ac:dyDescent="0.2">
      <c r="B87" s="848"/>
      <c r="C87" s="866"/>
      <c r="D87" s="423" t="s">
        <v>304</v>
      </c>
      <c r="E87" s="411">
        <f>SUM(E82:E86)</f>
        <v>0</v>
      </c>
      <c r="F87" s="411">
        <f t="shared" ref="F87:P87" si="19">SUM(F82:F86)</f>
        <v>8814458.2300000004</v>
      </c>
      <c r="G87" s="411">
        <f t="shared" si="19"/>
        <v>7128170.5300000012</v>
      </c>
      <c r="H87" s="411">
        <f t="shared" si="19"/>
        <v>7420979.3200000003</v>
      </c>
      <c r="I87" s="411">
        <f t="shared" si="19"/>
        <v>0</v>
      </c>
      <c r="J87" s="411">
        <f t="shared" si="19"/>
        <v>0</v>
      </c>
      <c r="K87" s="411">
        <f t="shared" si="19"/>
        <v>0</v>
      </c>
      <c r="L87" s="411">
        <f t="shared" si="19"/>
        <v>0</v>
      </c>
      <c r="M87" s="411">
        <f t="shared" si="19"/>
        <v>0</v>
      </c>
      <c r="N87" s="411">
        <f t="shared" si="19"/>
        <v>0</v>
      </c>
      <c r="O87" s="411">
        <f t="shared" si="19"/>
        <v>0</v>
      </c>
      <c r="P87" s="411">
        <f t="shared" si="19"/>
        <v>0</v>
      </c>
      <c r="Q87" s="410">
        <f t="shared" si="18"/>
        <v>23363608.080000002</v>
      </c>
    </row>
    <row r="88" spans="2:17" x14ac:dyDescent="0.2">
      <c r="B88" s="848"/>
      <c r="C88" s="864" t="s">
        <v>305</v>
      </c>
      <c r="D88" s="865"/>
      <c r="E88" s="400"/>
      <c r="F88" s="400">
        <v>2054738.57</v>
      </c>
      <c r="G88" s="400">
        <v>2097869.7599999998</v>
      </c>
      <c r="H88" s="400">
        <v>2139782.15</v>
      </c>
      <c r="I88" s="400"/>
      <c r="J88" s="400"/>
      <c r="K88" s="400"/>
      <c r="L88" s="400"/>
      <c r="M88" s="400"/>
      <c r="N88" s="400"/>
      <c r="O88" s="400"/>
      <c r="P88" s="400"/>
      <c r="Q88" s="401">
        <f t="shared" si="18"/>
        <v>6292390.4800000004</v>
      </c>
    </row>
    <row r="89" spans="2:17" ht="16.5" thickBot="1" x14ac:dyDescent="0.25">
      <c r="B89" s="848"/>
      <c r="C89" s="855" t="s">
        <v>306</v>
      </c>
      <c r="D89" s="856"/>
      <c r="E89" s="403"/>
      <c r="F89" s="403">
        <v>8299.52</v>
      </c>
      <c r="G89" s="403">
        <v>2138.1</v>
      </c>
      <c r="H89" s="403">
        <v>6520.7</v>
      </c>
      <c r="I89" s="403"/>
      <c r="J89" s="403"/>
      <c r="K89" s="403"/>
      <c r="L89" s="403"/>
      <c r="M89" s="403"/>
      <c r="N89" s="403"/>
      <c r="O89" s="403"/>
      <c r="P89" s="403"/>
      <c r="Q89" s="404">
        <f t="shared" si="18"/>
        <v>16958.32</v>
      </c>
    </row>
    <row r="90" spans="2:17" ht="16.5" thickTop="1" x14ac:dyDescent="0.2">
      <c r="B90" s="848"/>
      <c r="C90" s="853" t="s">
        <v>146</v>
      </c>
      <c r="D90" s="854"/>
      <c r="E90" s="411">
        <f>E87+E88+E89</f>
        <v>0</v>
      </c>
      <c r="F90" s="411">
        <f t="shared" ref="F90:P90" si="20">F87+F88+F89</f>
        <v>10877496.32</v>
      </c>
      <c r="G90" s="411">
        <f t="shared" si="20"/>
        <v>9228178.3900000006</v>
      </c>
      <c r="H90" s="411">
        <f t="shared" si="20"/>
        <v>9567282.1699999999</v>
      </c>
      <c r="I90" s="411">
        <f t="shared" si="20"/>
        <v>0</v>
      </c>
      <c r="J90" s="411">
        <f t="shared" si="20"/>
        <v>0</v>
      </c>
      <c r="K90" s="411">
        <f t="shared" si="20"/>
        <v>0</v>
      </c>
      <c r="L90" s="411">
        <f t="shared" si="20"/>
        <v>0</v>
      </c>
      <c r="M90" s="411">
        <f t="shared" si="20"/>
        <v>0</v>
      </c>
      <c r="N90" s="411">
        <f t="shared" si="20"/>
        <v>0</v>
      </c>
      <c r="O90" s="411">
        <f t="shared" si="20"/>
        <v>0</v>
      </c>
      <c r="P90" s="411">
        <f t="shared" si="20"/>
        <v>0</v>
      </c>
      <c r="Q90" s="410">
        <f t="shared" si="18"/>
        <v>29672956.880000003</v>
      </c>
    </row>
    <row r="91" spans="2:17" x14ac:dyDescent="0.2">
      <c r="B91" s="848"/>
      <c r="C91" s="864" t="s">
        <v>112</v>
      </c>
      <c r="D91" s="865"/>
      <c r="E91" s="412"/>
      <c r="F91" s="412"/>
      <c r="G91" s="412"/>
      <c r="H91" s="412"/>
      <c r="I91" s="412"/>
      <c r="J91" s="412"/>
      <c r="K91" s="412"/>
      <c r="L91" s="412"/>
      <c r="M91" s="412"/>
      <c r="N91" s="412"/>
      <c r="O91" s="412"/>
      <c r="P91" s="412"/>
      <c r="Q91" s="413" t="e">
        <f>AVERAGE(E91:P91)</f>
        <v>#DIV/0!</v>
      </c>
    </row>
    <row r="92" spans="2:17" ht="16.5" thickBot="1" x14ac:dyDescent="0.25">
      <c r="B92" s="849"/>
      <c r="C92" s="859" t="s">
        <v>307</v>
      </c>
      <c r="D92" s="860"/>
      <c r="E92" s="414" t="e">
        <f>E90/E91</f>
        <v>#DIV/0!</v>
      </c>
      <c r="F92" s="415" t="e">
        <f t="shared" ref="F92:Q92" si="21">F90/F91</f>
        <v>#DIV/0!</v>
      </c>
      <c r="G92" s="415" t="e">
        <f t="shared" si="21"/>
        <v>#DIV/0!</v>
      </c>
      <c r="H92" s="415" t="e">
        <f t="shared" si="21"/>
        <v>#DIV/0!</v>
      </c>
      <c r="I92" s="415" t="e">
        <f t="shared" si="21"/>
        <v>#DIV/0!</v>
      </c>
      <c r="J92" s="415" t="e">
        <f t="shared" si="21"/>
        <v>#DIV/0!</v>
      </c>
      <c r="K92" s="416" t="e">
        <f t="shared" si="21"/>
        <v>#DIV/0!</v>
      </c>
      <c r="L92" s="416" t="e">
        <f t="shared" si="21"/>
        <v>#DIV/0!</v>
      </c>
      <c r="M92" s="416" t="e">
        <f t="shared" si="21"/>
        <v>#DIV/0!</v>
      </c>
      <c r="N92" s="416" t="e">
        <f t="shared" si="21"/>
        <v>#DIV/0!</v>
      </c>
      <c r="O92" s="416" t="e">
        <f t="shared" si="21"/>
        <v>#DIV/0!</v>
      </c>
      <c r="P92" s="416" t="e">
        <f t="shared" si="21"/>
        <v>#DIV/0!</v>
      </c>
      <c r="Q92" s="417" t="e">
        <f t="shared" si="21"/>
        <v>#DIV/0!</v>
      </c>
    </row>
    <row r="93" spans="2:17" x14ac:dyDescent="0.2">
      <c r="B93" s="847" t="s">
        <v>155</v>
      </c>
      <c r="C93" s="850" t="s">
        <v>301</v>
      </c>
      <c r="D93" s="420" t="s">
        <v>49</v>
      </c>
      <c r="E93" s="397"/>
      <c r="F93" s="397">
        <v>130421150.50999999</v>
      </c>
      <c r="G93" s="397">
        <v>108251703.80000001</v>
      </c>
      <c r="H93" s="397">
        <v>105164817.40999998</v>
      </c>
      <c r="I93" s="397"/>
      <c r="J93" s="397"/>
      <c r="K93" s="397"/>
      <c r="L93" s="397"/>
      <c r="M93" s="397"/>
      <c r="N93" s="397"/>
      <c r="O93" s="397"/>
      <c r="P93" s="397"/>
      <c r="Q93" s="398">
        <f>SUM(E93:P93)</f>
        <v>343837671.71999997</v>
      </c>
    </row>
    <row r="94" spans="2:17" x14ac:dyDescent="0.2">
      <c r="B94" s="848"/>
      <c r="C94" s="851"/>
      <c r="D94" s="421" t="s">
        <v>302</v>
      </c>
      <c r="E94" s="400"/>
      <c r="F94" s="400">
        <v>557663.2300000001</v>
      </c>
      <c r="G94" s="400">
        <v>405434.5</v>
      </c>
      <c r="H94" s="400">
        <v>386007.94</v>
      </c>
      <c r="I94" s="400"/>
      <c r="J94" s="400"/>
      <c r="K94" s="400"/>
      <c r="L94" s="400"/>
      <c r="M94" s="400"/>
      <c r="N94" s="400"/>
      <c r="O94" s="400"/>
      <c r="P94" s="400"/>
      <c r="Q94" s="401">
        <f t="shared" ref="Q94:Q101" si="22">SUM(E94:P94)</f>
        <v>1349105.6700000002</v>
      </c>
    </row>
    <row r="95" spans="2:17" x14ac:dyDescent="0.2">
      <c r="B95" s="848"/>
      <c r="C95" s="851"/>
      <c r="D95" s="421" t="s">
        <v>67</v>
      </c>
      <c r="E95" s="400"/>
      <c r="F95" s="400">
        <v>418115.25</v>
      </c>
      <c r="G95" s="400">
        <v>151718.98000000001</v>
      </c>
      <c r="H95" s="400">
        <v>284390.23</v>
      </c>
      <c r="I95" s="400"/>
      <c r="J95" s="400"/>
      <c r="K95" s="400"/>
      <c r="L95" s="400"/>
      <c r="M95" s="400"/>
      <c r="N95" s="400"/>
      <c r="O95" s="400"/>
      <c r="P95" s="400"/>
      <c r="Q95" s="401">
        <f t="shared" si="22"/>
        <v>854224.46</v>
      </c>
    </row>
    <row r="96" spans="2:17" x14ac:dyDescent="0.2">
      <c r="B96" s="848"/>
      <c r="C96" s="851"/>
      <c r="D96" s="421" t="s">
        <v>303</v>
      </c>
      <c r="E96" s="400"/>
      <c r="F96" s="400">
        <v>2407902.4500000002</v>
      </c>
      <c r="G96" s="400">
        <v>2653267.9500000002</v>
      </c>
      <c r="H96" s="400">
        <v>2718511.28</v>
      </c>
      <c r="I96" s="400"/>
      <c r="J96" s="400"/>
      <c r="K96" s="400"/>
      <c r="L96" s="400"/>
      <c r="M96" s="400"/>
      <c r="N96" s="400"/>
      <c r="O96" s="400"/>
      <c r="P96" s="400"/>
      <c r="Q96" s="401">
        <f t="shared" si="22"/>
        <v>7779681.6799999997</v>
      </c>
    </row>
    <row r="97" spans="2:17" ht="16.5" thickBot="1" x14ac:dyDescent="0.25">
      <c r="B97" s="848"/>
      <c r="C97" s="851"/>
      <c r="D97" s="422" t="s">
        <v>72</v>
      </c>
      <c r="E97" s="403"/>
      <c r="F97" s="403">
        <v>0</v>
      </c>
      <c r="G97" s="403">
        <v>0</v>
      </c>
      <c r="H97" s="403">
        <v>0</v>
      </c>
      <c r="I97" s="403"/>
      <c r="J97" s="403"/>
      <c r="K97" s="403"/>
      <c r="L97" s="403"/>
      <c r="M97" s="403"/>
      <c r="N97" s="403"/>
      <c r="O97" s="403"/>
      <c r="P97" s="403"/>
      <c r="Q97" s="404">
        <f t="shared" si="22"/>
        <v>0</v>
      </c>
    </row>
    <row r="98" spans="2:17" ht="16.5" thickTop="1" x14ac:dyDescent="0.2">
      <c r="B98" s="848"/>
      <c r="C98" s="866"/>
      <c r="D98" s="423" t="s">
        <v>304</v>
      </c>
      <c r="E98" s="411">
        <f>SUM(E93:E97)</f>
        <v>0</v>
      </c>
      <c r="F98" s="411">
        <f t="shared" ref="F98:P98" si="23">SUM(F93:F97)</f>
        <v>133804831.44</v>
      </c>
      <c r="G98" s="411">
        <f t="shared" si="23"/>
        <v>111462125.23000002</v>
      </c>
      <c r="H98" s="411">
        <f t="shared" si="23"/>
        <v>108553726.85999998</v>
      </c>
      <c r="I98" s="411">
        <f t="shared" si="23"/>
        <v>0</v>
      </c>
      <c r="J98" s="411">
        <f t="shared" si="23"/>
        <v>0</v>
      </c>
      <c r="K98" s="411">
        <f t="shared" si="23"/>
        <v>0</v>
      </c>
      <c r="L98" s="411">
        <f t="shared" si="23"/>
        <v>0</v>
      </c>
      <c r="M98" s="411">
        <f t="shared" si="23"/>
        <v>0</v>
      </c>
      <c r="N98" s="411">
        <f t="shared" si="23"/>
        <v>0</v>
      </c>
      <c r="O98" s="411">
        <f t="shared" si="23"/>
        <v>0</v>
      </c>
      <c r="P98" s="411">
        <f t="shared" si="23"/>
        <v>0</v>
      </c>
      <c r="Q98" s="410">
        <f t="shared" si="22"/>
        <v>353820683.52999997</v>
      </c>
    </row>
    <row r="99" spans="2:17" x14ac:dyDescent="0.2">
      <c r="B99" s="848"/>
      <c r="C99" s="864" t="s">
        <v>305</v>
      </c>
      <c r="D99" s="865"/>
      <c r="E99" s="400"/>
      <c r="F99" s="400">
        <v>19674016.100000001</v>
      </c>
      <c r="G99" s="400">
        <v>20238774.77</v>
      </c>
      <c r="H99" s="400">
        <v>20313196.379999999</v>
      </c>
      <c r="I99" s="400"/>
      <c r="J99" s="400"/>
      <c r="K99" s="400"/>
      <c r="L99" s="400"/>
      <c r="M99" s="400"/>
      <c r="N99" s="400"/>
      <c r="O99" s="400"/>
      <c r="P99" s="400"/>
      <c r="Q99" s="401">
        <f t="shared" si="22"/>
        <v>60225987.25</v>
      </c>
    </row>
    <row r="100" spans="2:17" ht="16.5" thickBot="1" x14ac:dyDescent="0.25">
      <c r="B100" s="848"/>
      <c r="C100" s="855" t="s">
        <v>306</v>
      </c>
      <c r="D100" s="856"/>
      <c r="E100" s="403"/>
      <c r="F100" s="403">
        <v>179155.64</v>
      </c>
      <c r="G100" s="403">
        <v>90850.59</v>
      </c>
      <c r="H100" s="403">
        <v>169150.83</v>
      </c>
      <c r="I100" s="403"/>
      <c r="J100" s="403"/>
      <c r="K100" s="403"/>
      <c r="L100" s="403"/>
      <c r="M100" s="403"/>
      <c r="N100" s="403"/>
      <c r="O100" s="403"/>
      <c r="P100" s="403"/>
      <c r="Q100" s="404">
        <f t="shared" si="22"/>
        <v>439157.05999999994</v>
      </c>
    </row>
    <row r="101" spans="2:17" ht="16.5" thickTop="1" x14ac:dyDescent="0.2">
      <c r="B101" s="848"/>
      <c r="C101" s="853" t="s">
        <v>146</v>
      </c>
      <c r="D101" s="854"/>
      <c r="E101" s="411">
        <f>E98+E99+E100</f>
        <v>0</v>
      </c>
      <c r="F101" s="411">
        <f t="shared" ref="F101:P101" si="24">F98+F99+F100</f>
        <v>153658003.17999998</v>
      </c>
      <c r="G101" s="411">
        <f t="shared" si="24"/>
        <v>131791750.59000002</v>
      </c>
      <c r="H101" s="411">
        <f t="shared" si="24"/>
        <v>129036074.06999998</v>
      </c>
      <c r="I101" s="411">
        <f t="shared" si="24"/>
        <v>0</v>
      </c>
      <c r="J101" s="411">
        <f t="shared" si="24"/>
        <v>0</v>
      </c>
      <c r="K101" s="411">
        <f t="shared" si="24"/>
        <v>0</v>
      </c>
      <c r="L101" s="411">
        <f t="shared" si="24"/>
        <v>0</v>
      </c>
      <c r="M101" s="411">
        <f t="shared" si="24"/>
        <v>0</v>
      </c>
      <c r="N101" s="411">
        <f t="shared" si="24"/>
        <v>0</v>
      </c>
      <c r="O101" s="411">
        <f t="shared" si="24"/>
        <v>0</v>
      </c>
      <c r="P101" s="411">
        <f t="shared" si="24"/>
        <v>0</v>
      </c>
      <c r="Q101" s="410">
        <f t="shared" si="22"/>
        <v>414485827.83999997</v>
      </c>
    </row>
    <row r="102" spans="2:17" x14ac:dyDescent="0.2">
      <c r="B102" s="848"/>
      <c r="C102" s="864" t="s">
        <v>112</v>
      </c>
      <c r="D102" s="865"/>
      <c r="E102" s="412"/>
      <c r="F102" s="412"/>
      <c r="G102" s="412"/>
      <c r="H102" s="412"/>
      <c r="I102" s="412"/>
      <c r="J102" s="412"/>
      <c r="K102" s="412"/>
      <c r="L102" s="412"/>
      <c r="M102" s="412"/>
      <c r="N102" s="412"/>
      <c r="O102" s="412"/>
      <c r="P102" s="412"/>
      <c r="Q102" s="413" t="e">
        <f>AVERAGE(E102:P102)</f>
        <v>#DIV/0!</v>
      </c>
    </row>
    <row r="103" spans="2:17" ht="16.5" thickBot="1" x14ac:dyDescent="0.25">
      <c r="B103" s="849"/>
      <c r="C103" s="867" t="s">
        <v>307</v>
      </c>
      <c r="D103" s="868"/>
      <c r="E103" s="414" t="e">
        <f>E101/E102</f>
        <v>#DIV/0!</v>
      </c>
      <c r="F103" s="415" t="e">
        <f t="shared" ref="F103:Q103" si="25">F101/F102</f>
        <v>#DIV/0!</v>
      </c>
      <c r="G103" s="415" t="e">
        <f t="shared" si="25"/>
        <v>#DIV/0!</v>
      </c>
      <c r="H103" s="415" t="e">
        <f t="shared" si="25"/>
        <v>#DIV/0!</v>
      </c>
      <c r="I103" s="415" t="e">
        <f t="shared" si="25"/>
        <v>#DIV/0!</v>
      </c>
      <c r="J103" s="415" t="e">
        <f t="shared" si="25"/>
        <v>#DIV/0!</v>
      </c>
      <c r="K103" s="416" t="e">
        <f t="shared" si="25"/>
        <v>#DIV/0!</v>
      </c>
      <c r="L103" s="416" t="e">
        <f t="shared" si="25"/>
        <v>#DIV/0!</v>
      </c>
      <c r="M103" s="416" t="e">
        <f t="shared" si="25"/>
        <v>#DIV/0!</v>
      </c>
      <c r="N103" s="416" t="e">
        <f t="shared" si="25"/>
        <v>#DIV/0!</v>
      </c>
      <c r="O103" s="416" t="e">
        <f t="shared" si="25"/>
        <v>#DIV/0!</v>
      </c>
      <c r="P103" s="416" t="e">
        <f t="shared" si="25"/>
        <v>#DIV/0!</v>
      </c>
      <c r="Q103" s="417" t="e">
        <f t="shared" si="25"/>
        <v>#DIV/0!</v>
      </c>
    </row>
    <row r="104" spans="2:17" x14ac:dyDescent="0.2">
      <c r="B104" s="848" t="s">
        <v>308</v>
      </c>
      <c r="C104" s="850" t="s">
        <v>301</v>
      </c>
      <c r="D104" s="423" t="s">
        <v>49</v>
      </c>
      <c r="E104" s="397">
        <f t="shared" ref="E104:P104" si="26">E82+E93</f>
        <v>0</v>
      </c>
      <c r="F104" s="397">
        <f t="shared" si="26"/>
        <v>138988024.66</v>
      </c>
      <c r="G104" s="397">
        <f t="shared" si="26"/>
        <v>115113488.84000002</v>
      </c>
      <c r="H104" s="397">
        <f t="shared" si="26"/>
        <v>112306418.81999998</v>
      </c>
      <c r="I104" s="397">
        <f t="shared" si="26"/>
        <v>0</v>
      </c>
      <c r="J104" s="397">
        <f t="shared" si="26"/>
        <v>0</v>
      </c>
      <c r="K104" s="397">
        <f t="shared" si="26"/>
        <v>0</v>
      </c>
      <c r="L104" s="397">
        <f t="shared" si="26"/>
        <v>0</v>
      </c>
      <c r="M104" s="397">
        <f t="shared" si="26"/>
        <v>0</v>
      </c>
      <c r="N104" s="397">
        <f t="shared" si="26"/>
        <v>0</v>
      </c>
      <c r="O104" s="397">
        <f t="shared" si="26"/>
        <v>0</v>
      </c>
      <c r="P104" s="397">
        <f t="shared" si="26"/>
        <v>0</v>
      </c>
      <c r="Q104" s="398">
        <f>SUM(E104:P104)</f>
        <v>366407932.31999999</v>
      </c>
    </row>
    <row r="105" spans="2:17" x14ac:dyDescent="0.2">
      <c r="B105" s="848"/>
      <c r="C105" s="851"/>
      <c r="D105" s="421" t="s">
        <v>302</v>
      </c>
      <c r="E105" s="400">
        <f t="shared" ref="E105:P108" si="27">E83+E94</f>
        <v>0</v>
      </c>
      <c r="F105" s="400">
        <f t="shared" si="27"/>
        <v>558022.4800000001</v>
      </c>
      <c r="G105" s="400">
        <f t="shared" si="27"/>
        <v>405925.79</v>
      </c>
      <c r="H105" s="400">
        <f t="shared" si="27"/>
        <v>388278.94</v>
      </c>
      <c r="I105" s="400">
        <f t="shared" si="27"/>
        <v>0</v>
      </c>
      <c r="J105" s="400">
        <f t="shared" si="27"/>
        <v>0</v>
      </c>
      <c r="K105" s="400">
        <f t="shared" si="27"/>
        <v>0</v>
      </c>
      <c r="L105" s="400">
        <f t="shared" si="27"/>
        <v>0</v>
      </c>
      <c r="M105" s="400">
        <f t="shared" si="27"/>
        <v>0</v>
      </c>
      <c r="N105" s="400">
        <f t="shared" si="27"/>
        <v>0</v>
      </c>
      <c r="O105" s="400">
        <f t="shared" si="27"/>
        <v>0</v>
      </c>
      <c r="P105" s="400">
        <f t="shared" si="27"/>
        <v>0</v>
      </c>
      <c r="Q105" s="401">
        <f t="shared" ref="Q105:Q112" si="28">SUM(E105:P105)</f>
        <v>1352227.21</v>
      </c>
    </row>
    <row r="106" spans="2:17" x14ac:dyDescent="0.2">
      <c r="B106" s="848"/>
      <c r="C106" s="851"/>
      <c r="D106" s="421" t="s">
        <v>67</v>
      </c>
      <c r="E106" s="400">
        <f t="shared" si="27"/>
        <v>0</v>
      </c>
      <c r="F106" s="400">
        <f t="shared" si="27"/>
        <v>418115.25</v>
      </c>
      <c r="G106" s="400">
        <f t="shared" si="27"/>
        <v>151718.98000000001</v>
      </c>
      <c r="H106" s="400">
        <f t="shared" si="27"/>
        <v>284390.23</v>
      </c>
      <c r="I106" s="400">
        <f t="shared" si="27"/>
        <v>0</v>
      </c>
      <c r="J106" s="400">
        <f t="shared" si="27"/>
        <v>0</v>
      </c>
      <c r="K106" s="400">
        <f t="shared" si="27"/>
        <v>0</v>
      </c>
      <c r="L106" s="400">
        <f t="shared" si="27"/>
        <v>0</v>
      </c>
      <c r="M106" s="400">
        <f t="shared" si="27"/>
        <v>0</v>
      </c>
      <c r="N106" s="400">
        <f t="shared" si="27"/>
        <v>0</v>
      </c>
      <c r="O106" s="400">
        <f t="shared" si="27"/>
        <v>0</v>
      </c>
      <c r="P106" s="400">
        <f t="shared" si="27"/>
        <v>0</v>
      </c>
      <c r="Q106" s="401">
        <f t="shared" si="28"/>
        <v>854224.46</v>
      </c>
    </row>
    <row r="107" spans="2:17" x14ac:dyDescent="0.2">
      <c r="B107" s="848"/>
      <c r="C107" s="851"/>
      <c r="D107" s="421" t="s">
        <v>303</v>
      </c>
      <c r="E107" s="400">
        <f t="shared" si="27"/>
        <v>0</v>
      </c>
      <c r="F107" s="400">
        <f t="shared" si="27"/>
        <v>2655127.2800000003</v>
      </c>
      <c r="G107" s="400">
        <f t="shared" si="27"/>
        <v>2919162.1500000004</v>
      </c>
      <c r="H107" s="400">
        <f t="shared" si="27"/>
        <v>2995618.19</v>
      </c>
      <c r="I107" s="400">
        <f t="shared" si="27"/>
        <v>0</v>
      </c>
      <c r="J107" s="400">
        <f t="shared" si="27"/>
        <v>0</v>
      </c>
      <c r="K107" s="400">
        <f t="shared" si="27"/>
        <v>0</v>
      </c>
      <c r="L107" s="400">
        <f t="shared" si="27"/>
        <v>0</v>
      </c>
      <c r="M107" s="400">
        <f t="shared" si="27"/>
        <v>0</v>
      </c>
      <c r="N107" s="400">
        <f t="shared" si="27"/>
        <v>0</v>
      </c>
      <c r="O107" s="400">
        <f t="shared" si="27"/>
        <v>0</v>
      </c>
      <c r="P107" s="400">
        <f t="shared" si="27"/>
        <v>0</v>
      </c>
      <c r="Q107" s="401">
        <f t="shared" si="28"/>
        <v>8569907.620000001</v>
      </c>
    </row>
    <row r="108" spans="2:17" ht="16.5" thickBot="1" x14ac:dyDescent="0.25">
      <c r="B108" s="848"/>
      <c r="C108" s="851"/>
      <c r="D108" s="422" t="s">
        <v>72</v>
      </c>
      <c r="E108" s="403">
        <f t="shared" si="27"/>
        <v>0</v>
      </c>
      <c r="F108" s="403">
        <f t="shared" si="27"/>
        <v>0</v>
      </c>
      <c r="G108" s="403">
        <f t="shared" si="27"/>
        <v>0</v>
      </c>
      <c r="H108" s="403">
        <f t="shared" si="27"/>
        <v>0</v>
      </c>
      <c r="I108" s="403">
        <f t="shared" si="27"/>
        <v>0</v>
      </c>
      <c r="J108" s="403">
        <f t="shared" si="27"/>
        <v>0</v>
      </c>
      <c r="K108" s="403">
        <f t="shared" si="27"/>
        <v>0</v>
      </c>
      <c r="L108" s="403">
        <f t="shared" si="27"/>
        <v>0</v>
      </c>
      <c r="M108" s="403">
        <f t="shared" si="27"/>
        <v>0</v>
      </c>
      <c r="N108" s="403">
        <f t="shared" si="27"/>
        <v>0</v>
      </c>
      <c r="O108" s="403">
        <f t="shared" si="27"/>
        <v>0</v>
      </c>
      <c r="P108" s="403">
        <f t="shared" si="27"/>
        <v>0</v>
      </c>
      <c r="Q108" s="404">
        <f t="shared" si="28"/>
        <v>0</v>
      </c>
    </row>
    <row r="109" spans="2:17" ht="16.5" thickTop="1" x14ac:dyDescent="0.2">
      <c r="B109" s="848"/>
      <c r="C109" s="866"/>
      <c r="D109" s="423" t="s">
        <v>304</v>
      </c>
      <c r="E109" s="411">
        <f>SUM(E104:E108)</f>
        <v>0</v>
      </c>
      <c r="F109" s="411">
        <f t="shared" ref="F109:P109" si="29">SUM(F104:F108)</f>
        <v>142619289.66999999</v>
      </c>
      <c r="G109" s="411">
        <f t="shared" si="29"/>
        <v>118590295.76000004</v>
      </c>
      <c r="H109" s="411">
        <f t="shared" si="29"/>
        <v>115974706.17999998</v>
      </c>
      <c r="I109" s="411">
        <f t="shared" si="29"/>
        <v>0</v>
      </c>
      <c r="J109" s="411">
        <f t="shared" si="29"/>
        <v>0</v>
      </c>
      <c r="K109" s="411">
        <f t="shared" si="29"/>
        <v>0</v>
      </c>
      <c r="L109" s="411">
        <f t="shared" si="29"/>
        <v>0</v>
      </c>
      <c r="M109" s="411">
        <f t="shared" si="29"/>
        <v>0</v>
      </c>
      <c r="N109" s="411">
        <f t="shared" si="29"/>
        <v>0</v>
      </c>
      <c r="O109" s="411">
        <f t="shared" si="29"/>
        <v>0</v>
      </c>
      <c r="P109" s="411">
        <f t="shared" si="29"/>
        <v>0</v>
      </c>
      <c r="Q109" s="410">
        <f t="shared" si="28"/>
        <v>377184291.61000001</v>
      </c>
    </row>
    <row r="110" spans="2:17" x14ac:dyDescent="0.2">
      <c r="B110" s="848"/>
      <c r="C110" s="864" t="s">
        <v>305</v>
      </c>
      <c r="D110" s="865"/>
      <c r="E110" s="400">
        <f>E88+E99</f>
        <v>0</v>
      </c>
      <c r="F110" s="400">
        <f t="shared" ref="F110:J111" si="30">F88+F99</f>
        <v>21728754.670000002</v>
      </c>
      <c r="G110" s="400">
        <f t="shared" si="30"/>
        <v>22336644.530000001</v>
      </c>
      <c r="H110" s="400">
        <f t="shared" si="30"/>
        <v>22452978.529999997</v>
      </c>
      <c r="I110" s="400">
        <f t="shared" si="30"/>
        <v>0</v>
      </c>
      <c r="J110" s="400">
        <f t="shared" si="30"/>
        <v>0</v>
      </c>
      <c r="K110" s="400">
        <f>K88+K99</f>
        <v>0</v>
      </c>
      <c r="L110" s="400">
        <f t="shared" ref="L110:P111" si="31">L88+L99</f>
        <v>0</v>
      </c>
      <c r="M110" s="400">
        <f t="shared" si="31"/>
        <v>0</v>
      </c>
      <c r="N110" s="400">
        <f t="shared" si="31"/>
        <v>0</v>
      </c>
      <c r="O110" s="400">
        <f t="shared" si="31"/>
        <v>0</v>
      </c>
      <c r="P110" s="400">
        <f t="shared" si="31"/>
        <v>0</v>
      </c>
      <c r="Q110" s="401">
        <f t="shared" si="28"/>
        <v>66518377.730000004</v>
      </c>
    </row>
    <row r="111" spans="2:17" ht="16.5" thickBot="1" x14ac:dyDescent="0.25">
      <c r="B111" s="848"/>
      <c r="C111" s="855" t="s">
        <v>306</v>
      </c>
      <c r="D111" s="856"/>
      <c r="E111" s="403">
        <f>E89+E100</f>
        <v>0</v>
      </c>
      <c r="F111" s="403">
        <f t="shared" si="30"/>
        <v>187455.16</v>
      </c>
      <c r="G111" s="403">
        <f t="shared" si="30"/>
        <v>92988.69</v>
      </c>
      <c r="H111" s="403">
        <f t="shared" si="30"/>
        <v>175671.53</v>
      </c>
      <c r="I111" s="403">
        <f t="shared" si="30"/>
        <v>0</v>
      </c>
      <c r="J111" s="403">
        <f t="shared" si="30"/>
        <v>0</v>
      </c>
      <c r="K111" s="403">
        <f>K89+K100</f>
        <v>0</v>
      </c>
      <c r="L111" s="403">
        <f t="shared" si="31"/>
        <v>0</v>
      </c>
      <c r="M111" s="403">
        <f t="shared" si="31"/>
        <v>0</v>
      </c>
      <c r="N111" s="403">
        <f t="shared" si="31"/>
        <v>0</v>
      </c>
      <c r="O111" s="403">
        <f t="shared" si="31"/>
        <v>0</v>
      </c>
      <c r="P111" s="403">
        <f t="shared" si="31"/>
        <v>0</v>
      </c>
      <c r="Q111" s="404">
        <f t="shared" si="28"/>
        <v>456115.38</v>
      </c>
    </row>
    <row r="112" spans="2:17" ht="16.5" thickTop="1" x14ac:dyDescent="0.2">
      <c r="B112" s="848"/>
      <c r="C112" s="853" t="s">
        <v>146</v>
      </c>
      <c r="D112" s="854"/>
      <c r="E112" s="411">
        <f>E109+E110+E111</f>
        <v>0</v>
      </c>
      <c r="F112" s="411">
        <f t="shared" ref="F112:P112" si="32">F109+F110+F111</f>
        <v>164535499.49999997</v>
      </c>
      <c r="G112" s="411">
        <f t="shared" si="32"/>
        <v>141019928.98000002</v>
      </c>
      <c r="H112" s="411">
        <f t="shared" si="32"/>
        <v>138603356.23999998</v>
      </c>
      <c r="I112" s="411">
        <f t="shared" si="32"/>
        <v>0</v>
      </c>
      <c r="J112" s="411">
        <f t="shared" si="32"/>
        <v>0</v>
      </c>
      <c r="K112" s="411">
        <f t="shared" si="32"/>
        <v>0</v>
      </c>
      <c r="L112" s="411">
        <f t="shared" si="32"/>
        <v>0</v>
      </c>
      <c r="M112" s="411">
        <f t="shared" si="32"/>
        <v>0</v>
      </c>
      <c r="N112" s="411">
        <f t="shared" si="32"/>
        <v>0</v>
      </c>
      <c r="O112" s="411">
        <f t="shared" si="32"/>
        <v>0</v>
      </c>
      <c r="P112" s="411">
        <f t="shared" si="32"/>
        <v>0</v>
      </c>
      <c r="Q112" s="410">
        <f t="shared" si="28"/>
        <v>444158784.72000003</v>
      </c>
    </row>
    <row r="113" spans="2:17" x14ac:dyDescent="0.2">
      <c r="B113" s="848"/>
      <c r="C113" s="864" t="s">
        <v>112</v>
      </c>
      <c r="D113" s="865"/>
      <c r="E113" s="412">
        <f>E91+E102</f>
        <v>0</v>
      </c>
      <c r="F113" s="412">
        <f t="shared" ref="F113:P113" si="33">F91+F102</f>
        <v>0</v>
      </c>
      <c r="G113" s="412">
        <f t="shared" si="33"/>
        <v>0</v>
      </c>
      <c r="H113" s="412">
        <f t="shared" si="33"/>
        <v>0</v>
      </c>
      <c r="I113" s="412">
        <f t="shared" si="33"/>
        <v>0</v>
      </c>
      <c r="J113" s="412">
        <f t="shared" si="33"/>
        <v>0</v>
      </c>
      <c r="K113" s="412">
        <f t="shared" si="33"/>
        <v>0</v>
      </c>
      <c r="L113" s="412">
        <f t="shared" si="33"/>
        <v>0</v>
      </c>
      <c r="M113" s="412">
        <f t="shared" si="33"/>
        <v>0</v>
      </c>
      <c r="N113" s="412">
        <f t="shared" si="33"/>
        <v>0</v>
      </c>
      <c r="O113" s="412">
        <f t="shared" si="33"/>
        <v>0</v>
      </c>
      <c r="P113" s="412">
        <f t="shared" si="33"/>
        <v>0</v>
      </c>
      <c r="Q113" s="413">
        <f>AVERAGE(E113:P113)</f>
        <v>0</v>
      </c>
    </row>
    <row r="114" spans="2:17" ht="16.5" thickBot="1" x14ac:dyDescent="0.25">
      <c r="B114" s="849"/>
      <c r="C114" s="867" t="s">
        <v>307</v>
      </c>
      <c r="D114" s="868"/>
      <c r="E114" s="414" t="e">
        <f>E112/E113</f>
        <v>#DIV/0!</v>
      </c>
      <c r="F114" s="415" t="e">
        <f t="shared" ref="F114:Q114" si="34">F112/F113</f>
        <v>#DIV/0!</v>
      </c>
      <c r="G114" s="415" t="e">
        <f t="shared" si="34"/>
        <v>#DIV/0!</v>
      </c>
      <c r="H114" s="415" t="e">
        <f t="shared" si="34"/>
        <v>#DIV/0!</v>
      </c>
      <c r="I114" s="415" t="e">
        <f t="shared" si="34"/>
        <v>#DIV/0!</v>
      </c>
      <c r="J114" s="415" t="e">
        <f t="shared" si="34"/>
        <v>#DIV/0!</v>
      </c>
      <c r="K114" s="416" t="e">
        <f t="shared" si="34"/>
        <v>#DIV/0!</v>
      </c>
      <c r="L114" s="416" t="e">
        <f t="shared" si="34"/>
        <v>#DIV/0!</v>
      </c>
      <c r="M114" s="416" t="e">
        <f t="shared" si="34"/>
        <v>#DIV/0!</v>
      </c>
      <c r="N114" s="416" t="e">
        <f t="shared" si="34"/>
        <v>#DIV/0!</v>
      </c>
      <c r="O114" s="416" t="e">
        <f t="shared" si="34"/>
        <v>#DIV/0!</v>
      </c>
      <c r="P114" s="416" t="e">
        <f t="shared" si="34"/>
        <v>#DIV/0!</v>
      </c>
      <c r="Q114" s="417" t="e">
        <f t="shared" si="34"/>
        <v>#DIV/0!</v>
      </c>
    </row>
    <row r="115" spans="2:17" x14ac:dyDescent="0.2">
      <c r="B115" s="861" t="s">
        <v>24</v>
      </c>
      <c r="C115" s="861"/>
      <c r="D115" s="861"/>
      <c r="E115" s="861"/>
      <c r="F115" s="861"/>
      <c r="G115" s="861"/>
      <c r="H115" s="861"/>
      <c r="I115" s="861"/>
      <c r="J115" s="861"/>
      <c r="K115" s="861"/>
      <c r="L115" s="861"/>
      <c r="M115" s="861"/>
      <c r="N115" s="861"/>
      <c r="O115" s="861"/>
      <c r="P115" s="861"/>
      <c r="Q115" s="861"/>
    </row>
    <row r="116" spans="2:17" x14ac:dyDescent="0.2">
      <c r="B116" s="862" t="s">
        <v>309</v>
      </c>
      <c r="C116" s="862"/>
      <c r="D116" s="862"/>
      <c r="E116" s="862"/>
      <c r="F116" s="862"/>
      <c r="G116" s="862"/>
      <c r="H116" s="862"/>
      <c r="I116" s="862"/>
      <c r="J116" s="862"/>
      <c r="K116" s="862"/>
      <c r="L116" s="862"/>
      <c r="M116" s="862"/>
      <c r="N116" s="862"/>
      <c r="O116" s="862"/>
      <c r="P116" s="862"/>
      <c r="Q116" s="862"/>
    </row>
    <row r="117" spans="2:17" x14ac:dyDescent="0.2">
      <c r="B117" s="862" t="s">
        <v>310</v>
      </c>
      <c r="C117" s="862"/>
      <c r="D117" s="862"/>
      <c r="E117" s="862"/>
      <c r="F117" s="862"/>
      <c r="G117" s="862"/>
      <c r="H117" s="862"/>
      <c r="I117" s="862"/>
      <c r="J117" s="862"/>
      <c r="K117" s="862"/>
      <c r="L117" s="862"/>
      <c r="M117" s="862"/>
      <c r="N117" s="862"/>
      <c r="O117" s="862"/>
      <c r="P117" s="862"/>
      <c r="Q117" s="862"/>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tabColor theme="1"/>
  </sheetPr>
  <dimension ref="A1:AS175"/>
  <sheetViews>
    <sheetView view="pageBreakPreview" topLeftCell="A93" zoomScale="80" zoomScaleNormal="100" zoomScaleSheetLayoutView="80" workbookViewId="0">
      <selection activeCell="E112" sqref="E112"/>
    </sheetView>
  </sheetViews>
  <sheetFormatPr defaultColWidth="9.140625" defaultRowHeight="15.75" x14ac:dyDescent="0.2"/>
  <cols>
    <col min="1" max="1" width="9.140625" style="461"/>
    <col min="2" max="2" width="41.7109375" style="461" customWidth="1"/>
    <col min="3" max="3" width="14.140625" style="461" bestFit="1" customWidth="1"/>
    <col min="4" max="4" width="10.7109375" style="461" customWidth="1"/>
    <col min="5" max="5" width="12.42578125" style="461" customWidth="1"/>
    <col min="6" max="6" width="12.7109375" style="461" customWidth="1"/>
    <col min="7" max="8" width="15.140625" style="461" customWidth="1"/>
    <col min="9" max="9" width="11.7109375" style="461" bestFit="1" customWidth="1"/>
    <col min="10" max="10" width="17.28515625" style="461" bestFit="1" customWidth="1"/>
    <col min="11" max="11" width="11.7109375" style="461" customWidth="1"/>
    <col min="12" max="12" width="16" style="461" customWidth="1"/>
    <col min="13" max="13" width="10.7109375" style="461" bestFit="1" customWidth="1"/>
    <col min="14" max="15" width="10.5703125" style="461" customWidth="1"/>
    <col min="16" max="16" width="11.7109375" style="461" customWidth="1"/>
    <col min="17" max="17" width="10.28515625" style="461" customWidth="1"/>
    <col min="18" max="18" width="13.5703125" style="461" bestFit="1" customWidth="1"/>
    <col min="19" max="21" width="12.28515625" style="461" customWidth="1"/>
    <col min="22" max="22" width="10.28515625" style="461" bestFit="1" customWidth="1"/>
    <col min="23" max="23" width="9.85546875" style="461" bestFit="1" customWidth="1"/>
    <col min="24" max="24" width="20.140625" style="461" bestFit="1" customWidth="1"/>
    <col min="25" max="25" width="9.85546875" style="461" bestFit="1" customWidth="1"/>
    <col min="26" max="26" width="9.7109375" style="461" bestFit="1" customWidth="1"/>
    <col min="27" max="27" width="21.85546875" style="461" bestFit="1" customWidth="1"/>
    <col min="28" max="28" width="28.140625" style="461" bestFit="1" customWidth="1"/>
    <col min="29" max="29" width="33.7109375" style="461" bestFit="1" customWidth="1"/>
    <col min="30" max="30" width="9.7109375" style="461" bestFit="1" customWidth="1"/>
    <col min="31" max="31" width="10" style="461" bestFit="1" customWidth="1"/>
    <col min="32" max="32" width="17.42578125" style="461" bestFit="1" customWidth="1"/>
    <col min="33" max="33" width="9.5703125" style="461" bestFit="1" customWidth="1"/>
    <col min="34" max="34" width="10" style="461" bestFit="1" customWidth="1"/>
    <col min="35" max="35" width="9.42578125" style="461" bestFit="1" customWidth="1"/>
    <col min="36" max="36" width="10" style="461" bestFit="1" customWidth="1"/>
    <col min="37" max="38" width="9.42578125" style="461" bestFit="1" customWidth="1"/>
    <col min="39" max="39" width="10.85546875" style="461" customWidth="1"/>
    <col min="40" max="40" width="9.42578125" style="461" bestFit="1" customWidth="1"/>
    <col min="41" max="16384" width="9.140625" style="461"/>
  </cols>
  <sheetData>
    <row r="1" spans="2:40" ht="22.5" customHeight="1" x14ac:dyDescent="0.2">
      <c r="B1" s="670" t="s">
        <v>173</v>
      </c>
      <c r="C1" s="671"/>
      <c r="D1" s="671"/>
      <c r="E1" s="671"/>
      <c r="F1" s="671"/>
      <c r="G1" s="671"/>
      <c r="H1" s="671"/>
      <c r="I1" s="671"/>
      <c r="J1" s="671"/>
      <c r="K1" s="671"/>
      <c r="L1" s="671"/>
      <c r="M1" s="671"/>
      <c r="N1" s="671"/>
      <c r="O1" s="671"/>
      <c r="P1" s="671"/>
      <c r="Q1" s="671"/>
      <c r="R1" s="672"/>
      <c r="S1" s="460"/>
      <c r="T1" s="460"/>
      <c r="U1" s="460"/>
      <c r="AB1" s="461">
        <f>Z1*AA1</f>
        <v>0</v>
      </c>
    </row>
    <row r="2" spans="2:40" s="178" customFormat="1" ht="81.75" x14ac:dyDescent="0.2">
      <c r="B2" s="215"/>
      <c r="C2" s="66" t="s">
        <v>150</v>
      </c>
      <c r="D2" s="66" t="s">
        <v>151</v>
      </c>
      <c r="E2" s="66" t="s">
        <v>152</v>
      </c>
      <c r="F2" s="66" t="s">
        <v>103</v>
      </c>
      <c r="G2" s="66" t="s">
        <v>153</v>
      </c>
      <c r="H2" s="66" t="s">
        <v>343</v>
      </c>
      <c r="I2" s="66" t="s">
        <v>344</v>
      </c>
      <c r="J2" s="66" t="s">
        <v>19</v>
      </c>
      <c r="K2" s="66" t="s">
        <v>160</v>
      </c>
      <c r="L2" s="66" t="s">
        <v>156</v>
      </c>
      <c r="M2" s="66" t="s">
        <v>20</v>
      </c>
      <c r="N2" s="66" t="s">
        <v>157</v>
      </c>
      <c r="O2" s="66" t="s">
        <v>158</v>
      </c>
      <c r="P2" s="66" t="s">
        <v>159</v>
      </c>
      <c r="Q2" s="66" t="s">
        <v>32</v>
      </c>
      <c r="R2" s="216" t="s">
        <v>0</v>
      </c>
      <c r="S2" s="55"/>
      <c r="T2" s="55"/>
      <c r="U2" s="55"/>
    </row>
    <row r="3" spans="2:40" s="178" customFormat="1" hidden="1" x14ac:dyDescent="0.2">
      <c r="B3" s="217">
        <v>39995</v>
      </c>
      <c r="C3" s="3">
        <v>38058</v>
      </c>
      <c r="D3" s="3">
        <v>6774</v>
      </c>
      <c r="E3" s="3">
        <v>52315</v>
      </c>
      <c r="F3" s="3"/>
      <c r="G3" s="63">
        <v>70356</v>
      </c>
      <c r="H3" s="3">
        <v>0</v>
      </c>
      <c r="I3" s="3"/>
      <c r="J3" s="3">
        <v>393</v>
      </c>
      <c r="K3" s="3">
        <v>259609</v>
      </c>
      <c r="L3" s="3"/>
      <c r="M3" s="3">
        <v>18285</v>
      </c>
      <c r="N3" s="3">
        <v>7745</v>
      </c>
      <c r="O3" s="3"/>
      <c r="P3" s="3">
        <v>3930</v>
      </c>
      <c r="Q3" s="3">
        <v>15434</v>
      </c>
      <c r="R3" s="218">
        <f t="shared" ref="R3:R13" si="0">SUM(C3:Q3)</f>
        <v>472899</v>
      </c>
      <c r="S3" s="56"/>
      <c r="T3" s="56"/>
      <c r="U3" s="56"/>
      <c r="V3" s="179"/>
      <c r="W3" s="179"/>
      <c r="X3" s="179"/>
      <c r="Y3" s="179"/>
      <c r="Z3" s="179"/>
      <c r="AA3" s="179"/>
      <c r="AB3" s="179"/>
      <c r="AC3" s="179"/>
      <c r="AD3" s="179"/>
      <c r="AE3" s="179"/>
      <c r="AF3" s="179"/>
      <c r="AG3" s="179"/>
      <c r="AH3" s="179"/>
      <c r="AM3" s="179">
        <v>472899</v>
      </c>
      <c r="AN3" s="178" t="b">
        <f>R3=AM3</f>
        <v>1</v>
      </c>
    </row>
    <row r="4" spans="2:40" s="178" customFormat="1" hidden="1" x14ac:dyDescent="0.2">
      <c r="B4" s="217">
        <v>40026</v>
      </c>
      <c r="C4" s="3">
        <v>38306</v>
      </c>
      <c r="D4" s="3">
        <v>6863</v>
      </c>
      <c r="E4" s="3">
        <v>52573</v>
      </c>
      <c r="F4" s="3"/>
      <c r="G4" s="63">
        <v>71467</v>
      </c>
      <c r="H4" s="65">
        <v>0</v>
      </c>
      <c r="I4" s="3"/>
      <c r="J4" s="3">
        <v>395</v>
      </c>
      <c r="K4" s="3">
        <v>263415</v>
      </c>
      <c r="L4" s="3"/>
      <c r="M4" s="3">
        <v>18325</v>
      </c>
      <c r="N4" s="3">
        <v>7849</v>
      </c>
      <c r="O4" s="3"/>
      <c r="P4" s="3">
        <v>3835</v>
      </c>
      <c r="Q4" s="3">
        <v>15522</v>
      </c>
      <c r="R4" s="218">
        <f t="shared" si="0"/>
        <v>478550</v>
      </c>
      <c r="S4" s="56"/>
      <c r="T4" s="56"/>
      <c r="U4" s="56"/>
      <c r="V4" s="179">
        <f t="shared" ref="V4:AG14" si="1">C4-C3</f>
        <v>248</v>
      </c>
      <c r="W4" s="179">
        <f t="shared" si="1"/>
        <v>89</v>
      </c>
      <c r="X4" s="179">
        <f t="shared" si="1"/>
        <v>258</v>
      </c>
      <c r="Y4" s="179">
        <f t="shared" si="1"/>
        <v>0</v>
      </c>
      <c r="Z4" s="179">
        <f t="shared" si="1"/>
        <v>1111</v>
      </c>
      <c r="AA4" s="179">
        <f t="shared" si="1"/>
        <v>0</v>
      </c>
      <c r="AB4" s="179">
        <f t="shared" si="1"/>
        <v>0</v>
      </c>
      <c r="AC4" s="179">
        <f t="shared" si="1"/>
        <v>2</v>
      </c>
      <c r="AD4" s="179">
        <f t="shared" si="1"/>
        <v>3806</v>
      </c>
      <c r="AE4" s="179">
        <f t="shared" si="1"/>
        <v>0</v>
      </c>
      <c r="AF4" s="179">
        <f t="shared" si="1"/>
        <v>40</v>
      </c>
      <c r="AG4" s="179">
        <f t="shared" si="1"/>
        <v>104</v>
      </c>
      <c r="AH4" s="179">
        <f t="shared" ref="AH4:AJ13" si="2">P4-P3</f>
        <v>-95</v>
      </c>
      <c r="AI4" s="179">
        <f t="shared" si="2"/>
        <v>88</v>
      </c>
      <c r="AJ4" s="179">
        <f t="shared" si="2"/>
        <v>5651</v>
      </c>
      <c r="AM4" s="179">
        <v>478550</v>
      </c>
      <c r="AN4" s="178" t="b">
        <f t="shared" ref="AN4:AN67" si="3">R4=AM4</f>
        <v>1</v>
      </c>
    </row>
    <row r="5" spans="2:40" s="178" customFormat="1" hidden="1" x14ac:dyDescent="0.2">
      <c r="B5" s="217">
        <v>40057</v>
      </c>
      <c r="C5" s="3">
        <v>38346</v>
      </c>
      <c r="D5" s="3">
        <v>6945</v>
      </c>
      <c r="E5" s="3">
        <v>52710</v>
      </c>
      <c r="F5" s="3"/>
      <c r="G5" s="63">
        <v>72192</v>
      </c>
      <c r="H5" s="65">
        <v>0</v>
      </c>
      <c r="I5" s="3"/>
      <c r="J5" s="3">
        <v>402</v>
      </c>
      <c r="K5" s="3">
        <v>266381</v>
      </c>
      <c r="L5" s="3"/>
      <c r="M5" s="3">
        <v>18200</v>
      </c>
      <c r="N5" s="3">
        <v>7775</v>
      </c>
      <c r="O5" s="3"/>
      <c r="P5" s="3">
        <v>3724</v>
      </c>
      <c r="Q5" s="3">
        <v>15513</v>
      </c>
      <c r="R5" s="218">
        <f t="shared" si="0"/>
        <v>482188</v>
      </c>
      <c r="S5" s="56"/>
      <c r="T5" s="56"/>
      <c r="U5" s="56"/>
      <c r="V5" s="179">
        <f t="shared" si="1"/>
        <v>40</v>
      </c>
      <c r="W5" s="179">
        <f t="shared" si="1"/>
        <v>82</v>
      </c>
      <c r="X5" s="179">
        <f t="shared" si="1"/>
        <v>137</v>
      </c>
      <c r="Y5" s="179">
        <f t="shared" si="1"/>
        <v>0</v>
      </c>
      <c r="Z5" s="179">
        <f t="shared" si="1"/>
        <v>725</v>
      </c>
      <c r="AA5" s="179">
        <f t="shared" si="1"/>
        <v>0</v>
      </c>
      <c r="AB5" s="179">
        <f t="shared" si="1"/>
        <v>0</v>
      </c>
      <c r="AC5" s="179">
        <f t="shared" si="1"/>
        <v>7</v>
      </c>
      <c r="AD5" s="179">
        <f t="shared" si="1"/>
        <v>2966</v>
      </c>
      <c r="AE5" s="179">
        <f t="shared" si="1"/>
        <v>0</v>
      </c>
      <c r="AF5" s="179">
        <f t="shared" si="1"/>
        <v>-125</v>
      </c>
      <c r="AG5" s="179">
        <f t="shared" si="1"/>
        <v>-74</v>
      </c>
      <c r="AH5" s="179">
        <f t="shared" si="2"/>
        <v>-111</v>
      </c>
      <c r="AI5" s="179">
        <f t="shared" si="2"/>
        <v>-9</v>
      </c>
      <c r="AJ5" s="179">
        <f t="shared" si="2"/>
        <v>3638</v>
      </c>
      <c r="AM5" s="179">
        <v>482188</v>
      </c>
      <c r="AN5" s="178" t="b">
        <f t="shared" si="3"/>
        <v>1</v>
      </c>
    </row>
    <row r="6" spans="2:40" s="178" customFormat="1" hidden="1" x14ac:dyDescent="0.2">
      <c r="B6" s="217">
        <v>40087</v>
      </c>
      <c r="C6" s="3">
        <v>38480</v>
      </c>
      <c r="D6" s="3">
        <v>6985</v>
      </c>
      <c r="E6" s="3">
        <v>52847</v>
      </c>
      <c r="F6" s="3"/>
      <c r="G6" s="63">
        <v>73474</v>
      </c>
      <c r="H6" s="65">
        <v>0</v>
      </c>
      <c r="I6" s="3"/>
      <c r="J6" s="3">
        <v>406</v>
      </c>
      <c r="K6" s="3">
        <v>270514</v>
      </c>
      <c r="L6" s="3"/>
      <c r="M6" s="3">
        <v>18169</v>
      </c>
      <c r="N6" s="3">
        <v>7713</v>
      </c>
      <c r="O6" s="3"/>
      <c r="P6" s="3">
        <v>3650</v>
      </c>
      <c r="Q6" s="3">
        <v>15638</v>
      </c>
      <c r="R6" s="218">
        <f t="shared" si="0"/>
        <v>487876</v>
      </c>
      <c r="S6" s="56"/>
      <c r="T6" s="56"/>
      <c r="U6" s="56"/>
      <c r="V6" s="179">
        <f t="shared" si="1"/>
        <v>134</v>
      </c>
      <c r="W6" s="179">
        <f t="shared" si="1"/>
        <v>40</v>
      </c>
      <c r="X6" s="179">
        <f t="shared" si="1"/>
        <v>137</v>
      </c>
      <c r="Y6" s="179">
        <f t="shared" si="1"/>
        <v>0</v>
      </c>
      <c r="Z6" s="179">
        <f t="shared" si="1"/>
        <v>1282</v>
      </c>
      <c r="AA6" s="179">
        <f t="shared" si="1"/>
        <v>0</v>
      </c>
      <c r="AB6" s="179">
        <f t="shared" si="1"/>
        <v>0</v>
      </c>
      <c r="AC6" s="179">
        <f t="shared" si="1"/>
        <v>4</v>
      </c>
      <c r="AD6" s="179">
        <f t="shared" si="1"/>
        <v>4133</v>
      </c>
      <c r="AE6" s="179">
        <f t="shared" si="1"/>
        <v>0</v>
      </c>
      <c r="AF6" s="179">
        <f t="shared" si="1"/>
        <v>-31</v>
      </c>
      <c r="AG6" s="179">
        <f t="shared" si="1"/>
        <v>-62</v>
      </c>
      <c r="AH6" s="179">
        <f t="shared" si="2"/>
        <v>-74</v>
      </c>
      <c r="AI6" s="179">
        <f t="shared" si="2"/>
        <v>125</v>
      </c>
      <c r="AJ6" s="179">
        <f t="shared" si="2"/>
        <v>5688</v>
      </c>
      <c r="AM6" s="179">
        <v>487876</v>
      </c>
      <c r="AN6" s="178" t="b">
        <f t="shared" si="3"/>
        <v>1</v>
      </c>
    </row>
    <row r="7" spans="2:40" s="178" customFormat="1" hidden="1" x14ac:dyDescent="0.2">
      <c r="B7" s="217">
        <v>40118</v>
      </c>
      <c r="C7" s="3">
        <v>38387</v>
      </c>
      <c r="D7" s="3">
        <v>6986</v>
      </c>
      <c r="E7" s="3">
        <v>52982</v>
      </c>
      <c r="F7" s="3"/>
      <c r="G7" s="63">
        <v>73957</v>
      </c>
      <c r="H7" s="65">
        <v>0</v>
      </c>
      <c r="I7" s="3"/>
      <c r="J7" s="3">
        <v>418</v>
      </c>
      <c r="K7" s="3">
        <v>272453</v>
      </c>
      <c r="L7" s="3"/>
      <c r="M7" s="3">
        <v>17992</v>
      </c>
      <c r="N7" s="3">
        <v>7674</v>
      </c>
      <c r="O7" s="3"/>
      <c r="P7" s="3">
        <v>3644</v>
      </c>
      <c r="Q7" s="3">
        <v>15743</v>
      </c>
      <c r="R7" s="218">
        <f t="shared" si="0"/>
        <v>490236</v>
      </c>
      <c r="S7" s="56"/>
      <c r="T7" s="56"/>
      <c r="U7" s="56"/>
      <c r="V7" s="179">
        <f t="shared" si="1"/>
        <v>-93</v>
      </c>
      <c r="W7" s="179">
        <f t="shared" si="1"/>
        <v>1</v>
      </c>
      <c r="X7" s="179">
        <f t="shared" si="1"/>
        <v>135</v>
      </c>
      <c r="Y7" s="179">
        <f t="shared" si="1"/>
        <v>0</v>
      </c>
      <c r="Z7" s="179">
        <f t="shared" si="1"/>
        <v>483</v>
      </c>
      <c r="AA7" s="179">
        <f t="shared" si="1"/>
        <v>0</v>
      </c>
      <c r="AB7" s="179">
        <f t="shared" si="1"/>
        <v>0</v>
      </c>
      <c r="AC7" s="179">
        <f t="shared" si="1"/>
        <v>12</v>
      </c>
      <c r="AD7" s="179">
        <f t="shared" si="1"/>
        <v>1939</v>
      </c>
      <c r="AE7" s="179">
        <f t="shared" si="1"/>
        <v>0</v>
      </c>
      <c r="AF7" s="179">
        <f t="shared" si="1"/>
        <v>-177</v>
      </c>
      <c r="AG7" s="179">
        <f t="shared" si="1"/>
        <v>-39</v>
      </c>
      <c r="AH7" s="179">
        <f t="shared" si="2"/>
        <v>-6</v>
      </c>
      <c r="AI7" s="179">
        <f t="shared" si="2"/>
        <v>105</v>
      </c>
      <c r="AJ7" s="179">
        <f t="shared" si="2"/>
        <v>2360</v>
      </c>
      <c r="AM7" s="179">
        <v>490236</v>
      </c>
      <c r="AN7" s="178" t="b">
        <f t="shared" si="3"/>
        <v>1</v>
      </c>
    </row>
    <row r="8" spans="2:40" s="178" customFormat="1" hidden="1" x14ac:dyDescent="0.2">
      <c r="B8" s="217">
        <v>40148</v>
      </c>
      <c r="C8" s="3">
        <v>38410</v>
      </c>
      <c r="D8" s="3">
        <v>7025</v>
      </c>
      <c r="E8" s="3">
        <v>53000</v>
      </c>
      <c r="F8" s="3"/>
      <c r="G8" s="63">
        <v>75120</v>
      </c>
      <c r="H8" s="65">
        <v>0</v>
      </c>
      <c r="I8" s="3"/>
      <c r="J8" s="3">
        <v>411</v>
      </c>
      <c r="K8" s="3">
        <v>275867</v>
      </c>
      <c r="L8" s="3"/>
      <c r="M8" s="3">
        <v>18371</v>
      </c>
      <c r="N8" s="3">
        <v>7627</v>
      </c>
      <c r="O8" s="3"/>
      <c r="P8" s="3">
        <v>3632</v>
      </c>
      <c r="Q8" s="3">
        <v>15846</v>
      </c>
      <c r="R8" s="218">
        <f t="shared" si="0"/>
        <v>495309</v>
      </c>
      <c r="S8" s="56"/>
      <c r="T8" s="56"/>
      <c r="U8" s="56"/>
      <c r="V8" s="179">
        <f t="shared" si="1"/>
        <v>23</v>
      </c>
      <c r="W8" s="179">
        <f t="shared" si="1"/>
        <v>39</v>
      </c>
      <c r="X8" s="179">
        <f t="shared" si="1"/>
        <v>18</v>
      </c>
      <c r="Y8" s="179">
        <f t="shared" si="1"/>
        <v>0</v>
      </c>
      <c r="Z8" s="179">
        <f t="shared" si="1"/>
        <v>1163</v>
      </c>
      <c r="AA8" s="179">
        <f t="shared" si="1"/>
        <v>0</v>
      </c>
      <c r="AB8" s="179">
        <f t="shared" si="1"/>
        <v>0</v>
      </c>
      <c r="AC8" s="179">
        <f t="shared" si="1"/>
        <v>-7</v>
      </c>
      <c r="AD8" s="179">
        <f t="shared" si="1"/>
        <v>3414</v>
      </c>
      <c r="AE8" s="179">
        <f t="shared" si="1"/>
        <v>0</v>
      </c>
      <c r="AF8" s="179">
        <f t="shared" si="1"/>
        <v>379</v>
      </c>
      <c r="AG8" s="179">
        <f t="shared" si="1"/>
        <v>-47</v>
      </c>
      <c r="AH8" s="179">
        <f t="shared" si="2"/>
        <v>-12</v>
      </c>
      <c r="AI8" s="179">
        <f t="shared" si="2"/>
        <v>103</v>
      </c>
      <c r="AJ8" s="179">
        <f t="shared" si="2"/>
        <v>5073</v>
      </c>
      <c r="AM8" s="179">
        <v>495309</v>
      </c>
      <c r="AN8" s="178" t="b">
        <f t="shared" si="3"/>
        <v>1</v>
      </c>
    </row>
    <row r="9" spans="2:40" s="178" customFormat="1" hidden="1" x14ac:dyDescent="0.2">
      <c r="B9" s="217">
        <v>40179</v>
      </c>
      <c r="C9" s="3">
        <v>38452</v>
      </c>
      <c r="D9" s="3">
        <v>7047</v>
      </c>
      <c r="E9" s="3">
        <v>53255</v>
      </c>
      <c r="F9" s="3"/>
      <c r="G9" s="63">
        <v>76403</v>
      </c>
      <c r="H9" s="65">
        <v>0</v>
      </c>
      <c r="I9" s="3"/>
      <c r="J9" s="3">
        <v>416</v>
      </c>
      <c r="K9" s="3">
        <v>279000</v>
      </c>
      <c r="L9" s="3"/>
      <c r="M9" s="3">
        <v>18400</v>
      </c>
      <c r="N9" s="3">
        <v>7796</v>
      </c>
      <c r="O9" s="3"/>
      <c r="P9" s="3">
        <v>3610</v>
      </c>
      <c r="Q9" s="3">
        <v>15954</v>
      </c>
      <c r="R9" s="218">
        <f t="shared" si="0"/>
        <v>500333</v>
      </c>
      <c r="S9" s="56"/>
      <c r="T9" s="56"/>
      <c r="U9" s="56"/>
      <c r="V9" s="179">
        <f t="shared" si="1"/>
        <v>42</v>
      </c>
      <c r="W9" s="179">
        <f t="shared" si="1"/>
        <v>22</v>
      </c>
      <c r="X9" s="179">
        <f t="shared" si="1"/>
        <v>255</v>
      </c>
      <c r="Y9" s="179">
        <f t="shared" si="1"/>
        <v>0</v>
      </c>
      <c r="Z9" s="179">
        <f t="shared" si="1"/>
        <v>1283</v>
      </c>
      <c r="AA9" s="179">
        <f t="shared" si="1"/>
        <v>0</v>
      </c>
      <c r="AB9" s="179">
        <f t="shared" si="1"/>
        <v>0</v>
      </c>
      <c r="AC9" s="179">
        <f t="shared" si="1"/>
        <v>5</v>
      </c>
      <c r="AD9" s="179">
        <f t="shared" si="1"/>
        <v>3133</v>
      </c>
      <c r="AE9" s="179">
        <f t="shared" si="1"/>
        <v>0</v>
      </c>
      <c r="AF9" s="179">
        <f t="shared" si="1"/>
        <v>29</v>
      </c>
      <c r="AG9" s="179">
        <f t="shared" si="1"/>
        <v>169</v>
      </c>
      <c r="AH9" s="179">
        <f t="shared" si="2"/>
        <v>-22</v>
      </c>
      <c r="AI9" s="179">
        <f t="shared" si="2"/>
        <v>108</v>
      </c>
      <c r="AJ9" s="179">
        <f t="shared" si="2"/>
        <v>5024</v>
      </c>
      <c r="AM9" s="179">
        <v>500333</v>
      </c>
      <c r="AN9" s="178" t="b">
        <f t="shared" si="3"/>
        <v>1</v>
      </c>
    </row>
    <row r="10" spans="2:40" s="178" customFormat="1" hidden="1" x14ac:dyDescent="0.2">
      <c r="B10" s="217">
        <v>40210</v>
      </c>
      <c r="C10" s="3">
        <v>38432</v>
      </c>
      <c r="D10" s="3">
        <v>7049</v>
      </c>
      <c r="E10" s="3">
        <v>53298</v>
      </c>
      <c r="F10" s="3"/>
      <c r="G10" s="63">
        <v>77214</v>
      </c>
      <c r="H10" s="65">
        <v>0</v>
      </c>
      <c r="I10" s="3"/>
      <c r="J10" s="3">
        <v>431</v>
      </c>
      <c r="K10" s="3">
        <v>279898</v>
      </c>
      <c r="L10" s="3"/>
      <c r="M10" s="3">
        <v>18467</v>
      </c>
      <c r="N10" s="3">
        <v>7779</v>
      </c>
      <c r="O10" s="3"/>
      <c r="P10" s="3">
        <v>3550</v>
      </c>
      <c r="Q10" s="3">
        <v>16076</v>
      </c>
      <c r="R10" s="218">
        <f t="shared" si="0"/>
        <v>502194</v>
      </c>
      <c r="S10" s="56"/>
      <c r="T10" s="56"/>
      <c r="U10" s="56"/>
      <c r="V10" s="179">
        <f t="shared" si="1"/>
        <v>-20</v>
      </c>
      <c r="W10" s="179">
        <f t="shared" si="1"/>
        <v>2</v>
      </c>
      <c r="X10" s="179">
        <f t="shared" si="1"/>
        <v>43</v>
      </c>
      <c r="Y10" s="179">
        <f t="shared" si="1"/>
        <v>0</v>
      </c>
      <c r="Z10" s="179">
        <f t="shared" si="1"/>
        <v>811</v>
      </c>
      <c r="AA10" s="179">
        <f t="shared" si="1"/>
        <v>0</v>
      </c>
      <c r="AB10" s="179">
        <f t="shared" si="1"/>
        <v>0</v>
      </c>
      <c r="AC10" s="179">
        <f t="shared" si="1"/>
        <v>15</v>
      </c>
      <c r="AD10" s="179">
        <f t="shared" si="1"/>
        <v>898</v>
      </c>
      <c r="AE10" s="179">
        <f t="shared" si="1"/>
        <v>0</v>
      </c>
      <c r="AF10" s="179">
        <f t="shared" si="1"/>
        <v>67</v>
      </c>
      <c r="AG10" s="179">
        <f t="shared" si="1"/>
        <v>-17</v>
      </c>
      <c r="AH10" s="179">
        <f t="shared" si="2"/>
        <v>-60</v>
      </c>
      <c r="AI10" s="179">
        <f t="shared" si="2"/>
        <v>122</v>
      </c>
      <c r="AJ10" s="179">
        <f t="shared" si="2"/>
        <v>1861</v>
      </c>
      <c r="AM10" s="179">
        <v>502194</v>
      </c>
      <c r="AN10" s="178" t="b">
        <f t="shared" si="3"/>
        <v>1</v>
      </c>
    </row>
    <row r="11" spans="2:40" s="178" customFormat="1" hidden="1" x14ac:dyDescent="0.2">
      <c r="B11" s="217">
        <v>40238</v>
      </c>
      <c r="C11" s="3">
        <v>38597</v>
      </c>
      <c r="D11" s="3">
        <v>7152</v>
      </c>
      <c r="E11" s="3">
        <v>53629</v>
      </c>
      <c r="F11" s="3"/>
      <c r="G11" s="63">
        <v>79286</v>
      </c>
      <c r="H11" s="65">
        <v>0</v>
      </c>
      <c r="I11" s="3"/>
      <c r="J11" s="3">
        <v>449</v>
      </c>
      <c r="K11" s="3">
        <v>283625</v>
      </c>
      <c r="L11" s="3"/>
      <c r="M11" s="3">
        <v>18486</v>
      </c>
      <c r="N11" s="3">
        <v>7996</v>
      </c>
      <c r="O11" s="3"/>
      <c r="P11" s="3">
        <v>3768</v>
      </c>
      <c r="Q11" s="3">
        <v>16212</v>
      </c>
      <c r="R11" s="218">
        <f t="shared" si="0"/>
        <v>509200</v>
      </c>
      <c r="S11" s="56"/>
      <c r="T11" s="56"/>
      <c r="U11" s="56"/>
      <c r="V11" s="179">
        <f t="shared" si="1"/>
        <v>165</v>
      </c>
      <c r="W11" s="179">
        <f t="shared" si="1"/>
        <v>103</v>
      </c>
      <c r="X11" s="179">
        <f t="shared" si="1"/>
        <v>331</v>
      </c>
      <c r="Y11" s="179">
        <f t="shared" si="1"/>
        <v>0</v>
      </c>
      <c r="Z11" s="179">
        <f t="shared" si="1"/>
        <v>2072</v>
      </c>
      <c r="AA11" s="179">
        <f t="shared" si="1"/>
        <v>0</v>
      </c>
      <c r="AB11" s="179">
        <f t="shared" si="1"/>
        <v>0</v>
      </c>
      <c r="AC11" s="179">
        <f t="shared" si="1"/>
        <v>18</v>
      </c>
      <c r="AD11" s="179">
        <f t="shared" si="1"/>
        <v>3727</v>
      </c>
      <c r="AE11" s="179">
        <f t="shared" si="1"/>
        <v>0</v>
      </c>
      <c r="AF11" s="179">
        <f t="shared" si="1"/>
        <v>19</v>
      </c>
      <c r="AG11" s="179">
        <f t="shared" si="1"/>
        <v>217</v>
      </c>
      <c r="AH11" s="179">
        <f t="shared" si="2"/>
        <v>218</v>
      </c>
      <c r="AI11" s="179">
        <f t="shared" si="2"/>
        <v>136</v>
      </c>
      <c r="AJ11" s="179">
        <f t="shared" si="2"/>
        <v>7006</v>
      </c>
      <c r="AM11" s="179">
        <v>509200</v>
      </c>
      <c r="AN11" s="178" t="b">
        <f t="shared" si="3"/>
        <v>1</v>
      </c>
    </row>
    <row r="12" spans="2:40" s="178" customFormat="1" hidden="1" x14ac:dyDescent="0.2">
      <c r="B12" s="217">
        <v>40269</v>
      </c>
      <c r="C12" s="3">
        <v>38727</v>
      </c>
      <c r="D12" s="3">
        <v>7212</v>
      </c>
      <c r="E12" s="3">
        <v>53904</v>
      </c>
      <c r="F12" s="3"/>
      <c r="G12" s="63">
        <v>80192</v>
      </c>
      <c r="H12" s="65">
        <v>0</v>
      </c>
      <c r="I12" s="3"/>
      <c r="J12" s="3">
        <v>452</v>
      </c>
      <c r="K12" s="3">
        <v>285746</v>
      </c>
      <c r="L12" s="3"/>
      <c r="M12" s="3">
        <v>18552</v>
      </c>
      <c r="N12" s="3">
        <v>8054</v>
      </c>
      <c r="O12" s="3"/>
      <c r="P12" s="3">
        <v>3831</v>
      </c>
      <c r="Q12" s="3">
        <v>16308</v>
      </c>
      <c r="R12" s="218">
        <f t="shared" si="0"/>
        <v>512978</v>
      </c>
      <c r="S12" s="56"/>
      <c r="T12" s="56"/>
      <c r="U12" s="56"/>
      <c r="V12" s="179">
        <f t="shared" si="1"/>
        <v>130</v>
      </c>
      <c r="W12" s="179">
        <f t="shared" si="1"/>
        <v>60</v>
      </c>
      <c r="X12" s="179">
        <f t="shared" si="1"/>
        <v>275</v>
      </c>
      <c r="Y12" s="179">
        <f t="shared" si="1"/>
        <v>0</v>
      </c>
      <c r="Z12" s="179">
        <f t="shared" si="1"/>
        <v>906</v>
      </c>
      <c r="AA12" s="179">
        <f t="shared" si="1"/>
        <v>0</v>
      </c>
      <c r="AB12" s="179">
        <f t="shared" si="1"/>
        <v>0</v>
      </c>
      <c r="AC12" s="179">
        <f t="shared" si="1"/>
        <v>3</v>
      </c>
      <c r="AD12" s="179">
        <f t="shared" si="1"/>
        <v>2121</v>
      </c>
      <c r="AE12" s="179">
        <f t="shared" si="1"/>
        <v>0</v>
      </c>
      <c r="AF12" s="179">
        <f t="shared" si="1"/>
        <v>66</v>
      </c>
      <c r="AG12" s="179">
        <f t="shared" si="1"/>
        <v>58</v>
      </c>
      <c r="AH12" s="179">
        <f t="shared" si="2"/>
        <v>63</v>
      </c>
      <c r="AI12" s="179">
        <f t="shared" si="2"/>
        <v>96</v>
      </c>
      <c r="AJ12" s="179">
        <f t="shared" si="2"/>
        <v>3778</v>
      </c>
      <c r="AM12" s="179">
        <v>512978</v>
      </c>
      <c r="AN12" s="178" t="b">
        <f t="shared" si="3"/>
        <v>1</v>
      </c>
    </row>
    <row r="13" spans="2:40" s="178" customFormat="1" hidden="1" x14ac:dyDescent="0.2">
      <c r="B13" s="217">
        <v>40299</v>
      </c>
      <c r="C13" s="3">
        <v>38754</v>
      </c>
      <c r="D13" s="3">
        <v>7228</v>
      </c>
      <c r="E13" s="3">
        <v>54164</v>
      </c>
      <c r="F13" s="3"/>
      <c r="G13" s="63">
        <v>75804</v>
      </c>
      <c r="H13" s="63">
        <v>18253</v>
      </c>
      <c r="I13" s="3"/>
      <c r="J13" s="3">
        <v>455</v>
      </c>
      <c r="K13" s="3">
        <v>285779</v>
      </c>
      <c r="L13" s="3"/>
      <c r="M13" s="3">
        <v>18651</v>
      </c>
      <c r="N13" s="3">
        <v>8039</v>
      </c>
      <c r="O13" s="3"/>
      <c r="P13" s="3">
        <v>3615</v>
      </c>
      <c r="Q13" s="3">
        <v>16285</v>
      </c>
      <c r="R13" s="218">
        <f t="shared" si="0"/>
        <v>527027</v>
      </c>
      <c r="S13" s="56"/>
      <c r="T13" s="56"/>
      <c r="U13" s="56"/>
      <c r="V13" s="179">
        <f t="shared" si="1"/>
        <v>27</v>
      </c>
      <c r="W13" s="179">
        <f t="shared" si="1"/>
        <v>16</v>
      </c>
      <c r="X13" s="179">
        <f t="shared" si="1"/>
        <v>260</v>
      </c>
      <c r="Y13" s="179">
        <f t="shared" si="1"/>
        <v>0</v>
      </c>
      <c r="Z13" s="179">
        <f t="shared" si="1"/>
        <v>-4388</v>
      </c>
      <c r="AA13" s="179">
        <f t="shared" si="1"/>
        <v>18253</v>
      </c>
      <c r="AB13" s="179">
        <f t="shared" si="1"/>
        <v>0</v>
      </c>
      <c r="AC13" s="179">
        <f t="shared" si="1"/>
        <v>3</v>
      </c>
      <c r="AD13" s="179">
        <f t="shared" si="1"/>
        <v>33</v>
      </c>
      <c r="AE13" s="179">
        <f t="shared" si="1"/>
        <v>0</v>
      </c>
      <c r="AF13" s="179">
        <f t="shared" si="1"/>
        <v>99</v>
      </c>
      <c r="AG13" s="179">
        <f t="shared" si="1"/>
        <v>-15</v>
      </c>
      <c r="AH13" s="179">
        <f t="shared" si="2"/>
        <v>-216</v>
      </c>
      <c r="AI13" s="179">
        <f t="shared" si="2"/>
        <v>-23</v>
      </c>
      <c r="AJ13" s="179">
        <f t="shared" si="2"/>
        <v>14049</v>
      </c>
      <c r="AM13" s="179">
        <v>527027</v>
      </c>
      <c r="AN13" s="178" t="b">
        <f t="shared" si="3"/>
        <v>1</v>
      </c>
    </row>
    <row r="14" spans="2:40" s="178" customFormat="1" hidden="1" x14ac:dyDescent="0.2">
      <c r="B14" s="217">
        <v>40330</v>
      </c>
      <c r="C14" s="3">
        <v>38900</v>
      </c>
      <c r="D14" s="3">
        <v>7326</v>
      </c>
      <c r="E14" s="3">
        <v>54493</v>
      </c>
      <c r="F14" s="3"/>
      <c r="G14" s="63">
        <v>72608</v>
      </c>
      <c r="H14" s="63">
        <v>20607</v>
      </c>
      <c r="I14" s="3"/>
      <c r="J14" s="3">
        <v>466</v>
      </c>
      <c r="K14" s="3">
        <v>285778</v>
      </c>
      <c r="L14" s="3"/>
      <c r="M14" s="3">
        <v>18678</v>
      </c>
      <c r="N14" s="3">
        <v>7903</v>
      </c>
      <c r="O14" s="3"/>
      <c r="P14" s="3">
        <v>3522</v>
      </c>
      <c r="Q14" s="3">
        <v>16495</v>
      </c>
      <c r="R14" s="218">
        <f>SUM(C14:Q14)</f>
        <v>526776</v>
      </c>
      <c r="S14" s="56"/>
      <c r="T14" s="56"/>
      <c r="U14" s="56"/>
      <c r="V14" s="179">
        <f t="shared" si="1"/>
        <v>146</v>
      </c>
      <c r="W14" s="179">
        <f t="shared" si="1"/>
        <v>98</v>
      </c>
      <c r="X14" s="179">
        <f t="shared" si="1"/>
        <v>329</v>
      </c>
      <c r="Y14" s="179">
        <f t="shared" si="1"/>
        <v>0</v>
      </c>
      <c r="Z14" s="179">
        <f t="shared" si="1"/>
        <v>-3196</v>
      </c>
      <c r="AA14" s="179">
        <f t="shared" si="1"/>
        <v>2354</v>
      </c>
      <c r="AB14" s="179">
        <f t="shared" si="1"/>
        <v>0</v>
      </c>
      <c r="AC14" s="179">
        <f t="shared" si="1"/>
        <v>11</v>
      </c>
      <c r="AD14" s="179">
        <f t="shared" si="1"/>
        <v>-1</v>
      </c>
      <c r="AE14" s="179">
        <f t="shared" si="1"/>
        <v>0</v>
      </c>
      <c r="AF14" s="179">
        <f t="shared" si="1"/>
        <v>27</v>
      </c>
      <c r="AG14" s="179">
        <f t="shared" si="1"/>
        <v>-136</v>
      </c>
      <c r="AH14" s="179">
        <f>P14-P13</f>
        <v>-93</v>
      </c>
      <c r="AI14" s="179">
        <f>Q14-Q13</f>
        <v>210</v>
      </c>
      <c r="AJ14" s="179">
        <f>R14-R13</f>
        <v>-251</v>
      </c>
      <c r="AM14" s="179">
        <v>526776</v>
      </c>
      <c r="AN14" s="178" t="b">
        <f t="shared" si="3"/>
        <v>1</v>
      </c>
    </row>
    <row r="15" spans="2:40" s="180" customFormat="1" hidden="1" x14ac:dyDescent="0.2">
      <c r="B15" s="219" t="s">
        <v>97</v>
      </c>
      <c r="C15" s="7">
        <f t="shared" ref="C15:M15" si="4">ROUND(AVERAGE(C3:C14),0)</f>
        <v>38487</v>
      </c>
      <c r="D15" s="7">
        <f t="shared" si="4"/>
        <v>7049</v>
      </c>
      <c r="E15" s="7">
        <f t="shared" si="4"/>
        <v>53264</v>
      </c>
      <c r="F15" s="7"/>
      <c r="G15" s="7">
        <f t="shared" si="4"/>
        <v>74839</v>
      </c>
      <c r="H15" s="7">
        <f t="shared" si="4"/>
        <v>3238</v>
      </c>
      <c r="I15" s="7"/>
      <c r="J15" s="7">
        <f>ROUND(AVERAGE(J3:J14),0)</f>
        <v>425</v>
      </c>
      <c r="K15" s="7">
        <f>ROUND(AVERAGE(K3:K14),0)</f>
        <v>275672</v>
      </c>
      <c r="L15" s="7"/>
      <c r="M15" s="7">
        <f t="shared" si="4"/>
        <v>18381</v>
      </c>
      <c r="N15" s="7">
        <f>ROUNDUP(AVERAGE(N3:N14),0)</f>
        <v>7830</v>
      </c>
      <c r="O15" s="7"/>
      <c r="P15" s="7">
        <f>ROUND(AVERAGE(P3:P14),0)</f>
        <v>3693</v>
      </c>
      <c r="Q15" s="7">
        <f>ROUND(AVERAGE(Q3:Q14),0)</f>
        <v>15919</v>
      </c>
      <c r="R15" s="220">
        <f>SUM(C15:Q15)</f>
        <v>498797</v>
      </c>
      <c r="S15" s="57"/>
      <c r="T15" s="57"/>
      <c r="U15" s="57"/>
      <c r="AM15" s="181">
        <v>498797</v>
      </c>
      <c r="AN15" s="178" t="b">
        <f t="shared" si="3"/>
        <v>1</v>
      </c>
    </row>
    <row r="16" spans="2:40" s="178" customFormat="1" hidden="1" x14ac:dyDescent="0.2">
      <c r="B16" s="217">
        <v>40360</v>
      </c>
      <c r="C16" s="3"/>
      <c r="D16" s="3">
        <v>7395</v>
      </c>
      <c r="E16" s="4">
        <v>54740</v>
      </c>
      <c r="F16" s="4">
        <v>0</v>
      </c>
      <c r="G16" s="63">
        <v>73769</v>
      </c>
      <c r="H16" s="63">
        <v>21446</v>
      </c>
      <c r="I16" s="4">
        <v>0</v>
      </c>
      <c r="J16" s="3">
        <v>471</v>
      </c>
      <c r="K16" s="4">
        <v>287674</v>
      </c>
      <c r="L16" s="4">
        <v>0</v>
      </c>
      <c r="M16" s="3">
        <v>18628</v>
      </c>
      <c r="N16" s="3">
        <v>7909</v>
      </c>
      <c r="O16" s="4">
        <v>0</v>
      </c>
      <c r="P16" s="3">
        <v>3492</v>
      </c>
      <c r="Q16" s="4">
        <v>16539</v>
      </c>
      <c r="R16" s="218">
        <f t="shared" ref="R16:R40" si="5">SUM(C16:Q16)</f>
        <v>492063</v>
      </c>
      <c r="S16" s="56"/>
      <c r="T16" s="56"/>
      <c r="U16" s="56"/>
      <c r="V16" s="179">
        <f t="shared" ref="V16:AG16" si="6">C16-C14</f>
        <v>-38900</v>
      </c>
      <c r="W16" s="179">
        <f t="shared" si="6"/>
        <v>69</v>
      </c>
      <c r="X16" s="179">
        <f t="shared" si="6"/>
        <v>247</v>
      </c>
      <c r="Y16" s="179">
        <f t="shared" si="6"/>
        <v>0</v>
      </c>
      <c r="Z16" s="179">
        <f t="shared" si="6"/>
        <v>1161</v>
      </c>
      <c r="AA16" s="179">
        <f t="shared" si="6"/>
        <v>839</v>
      </c>
      <c r="AB16" s="179">
        <f t="shared" si="6"/>
        <v>0</v>
      </c>
      <c r="AC16" s="179">
        <f t="shared" si="6"/>
        <v>5</v>
      </c>
      <c r="AD16" s="179">
        <f t="shared" si="6"/>
        <v>1896</v>
      </c>
      <c r="AE16" s="179">
        <f t="shared" si="6"/>
        <v>0</v>
      </c>
      <c r="AF16" s="179">
        <f t="shared" si="6"/>
        <v>-50</v>
      </c>
      <c r="AG16" s="179">
        <f t="shared" si="6"/>
        <v>6</v>
      </c>
      <c r="AH16" s="179">
        <f>P16-P14</f>
        <v>-30</v>
      </c>
      <c r="AI16" s="179">
        <f>Q16-Q14</f>
        <v>44</v>
      </c>
      <c r="AJ16" s="179">
        <f>R16-R14</f>
        <v>-34713</v>
      </c>
      <c r="AK16" s="182">
        <f>R16+'[3]CBHP Caseload'!S16</f>
        <v>496521</v>
      </c>
      <c r="AL16" s="183">
        <f>AK16-Q16-C16-D16-E16</f>
        <v>417847</v>
      </c>
      <c r="AM16" s="462">
        <v>492063</v>
      </c>
      <c r="AN16" s="178" t="b">
        <f t="shared" si="3"/>
        <v>1</v>
      </c>
    </row>
    <row r="17" spans="2:40" s="178" customFormat="1" hidden="1" x14ac:dyDescent="0.2">
      <c r="B17" s="217">
        <v>40391</v>
      </c>
      <c r="C17" s="3">
        <v>38648</v>
      </c>
      <c r="D17" s="3">
        <v>7492</v>
      </c>
      <c r="E17" s="4">
        <v>55032</v>
      </c>
      <c r="F17" s="4">
        <v>0</v>
      </c>
      <c r="G17" s="63">
        <v>75863</v>
      </c>
      <c r="H17" s="63">
        <v>24193</v>
      </c>
      <c r="I17" s="4">
        <v>0</v>
      </c>
      <c r="J17" s="3">
        <v>493</v>
      </c>
      <c r="K17" s="4">
        <f>218121+72750</f>
        <v>290871</v>
      </c>
      <c r="L17" s="4">
        <v>0</v>
      </c>
      <c r="M17" s="3">
        <v>18455</v>
      </c>
      <c r="N17" s="3">
        <f>7448+566</f>
        <v>8014</v>
      </c>
      <c r="O17" s="4">
        <v>0</v>
      </c>
      <c r="P17" s="3">
        <v>3378</v>
      </c>
      <c r="Q17" s="4">
        <f>11132+5502</f>
        <v>16634</v>
      </c>
      <c r="R17" s="218">
        <f t="shared" si="5"/>
        <v>539073</v>
      </c>
      <c r="S17" s="56"/>
      <c r="T17" s="56"/>
      <c r="U17" s="56"/>
      <c r="V17" s="179">
        <f t="shared" ref="V17:AG27" si="7">C17-C16</f>
        <v>38648</v>
      </c>
      <c r="W17" s="179">
        <f t="shared" si="7"/>
        <v>97</v>
      </c>
      <c r="X17" s="179">
        <f t="shared" si="7"/>
        <v>292</v>
      </c>
      <c r="Y17" s="179">
        <f t="shared" si="7"/>
        <v>0</v>
      </c>
      <c r="Z17" s="179">
        <f t="shared" si="7"/>
        <v>2094</v>
      </c>
      <c r="AA17" s="179">
        <f t="shared" si="7"/>
        <v>2747</v>
      </c>
      <c r="AB17" s="179">
        <f t="shared" si="7"/>
        <v>0</v>
      </c>
      <c r="AC17" s="179">
        <f t="shared" si="7"/>
        <v>22</v>
      </c>
      <c r="AD17" s="179">
        <f t="shared" si="7"/>
        <v>3197</v>
      </c>
      <c r="AE17" s="179">
        <f t="shared" si="7"/>
        <v>0</v>
      </c>
      <c r="AF17" s="179">
        <f t="shared" si="7"/>
        <v>-173</v>
      </c>
      <c r="AG17" s="179">
        <f t="shared" si="7"/>
        <v>105</v>
      </c>
      <c r="AH17" s="179">
        <f t="shared" ref="AH17:AJ26" si="8">P17-P16</f>
        <v>-114</v>
      </c>
      <c r="AI17" s="179">
        <f t="shared" si="8"/>
        <v>95</v>
      </c>
      <c r="AJ17" s="179">
        <f t="shared" si="8"/>
        <v>47010</v>
      </c>
      <c r="AK17" s="182">
        <f>R17+'[3]CBHP Caseload'!S17</f>
        <v>610130</v>
      </c>
      <c r="AL17" s="183">
        <f t="shared" ref="AL17:AL53" si="9">AK17-Q17-C17-D17-E17</f>
        <v>492324</v>
      </c>
      <c r="AM17" s="462">
        <v>539073</v>
      </c>
      <c r="AN17" s="178" t="b">
        <f t="shared" si="3"/>
        <v>1</v>
      </c>
    </row>
    <row r="18" spans="2:40" s="178" customFormat="1" hidden="1" x14ac:dyDescent="0.2">
      <c r="B18" s="217">
        <v>40422</v>
      </c>
      <c r="C18" s="3">
        <v>38774</v>
      </c>
      <c r="D18" s="3">
        <v>7562</v>
      </c>
      <c r="E18" s="4">
        <v>55223</v>
      </c>
      <c r="F18" s="4">
        <v>0</v>
      </c>
      <c r="G18" s="63">
        <v>76255</v>
      </c>
      <c r="H18" s="63">
        <v>25071</v>
      </c>
      <c r="I18" s="4">
        <v>0</v>
      </c>
      <c r="J18" s="3">
        <v>503</v>
      </c>
      <c r="K18" s="4">
        <f>223315+68277</f>
        <v>291592</v>
      </c>
      <c r="L18" s="4">
        <v>0</v>
      </c>
      <c r="M18" s="3">
        <v>18451</v>
      </c>
      <c r="N18" s="3">
        <f>7410+561</f>
        <v>7971</v>
      </c>
      <c r="O18" s="4">
        <v>0</v>
      </c>
      <c r="P18" s="3">
        <v>3231</v>
      </c>
      <c r="Q18" s="4">
        <f>11140+5512</f>
        <v>16652</v>
      </c>
      <c r="R18" s="218">
        <f t="shared" si="5"/>
        <v>541285</v>
      </c>
      <c r="S18" s="56"/>
      <c r="T18" s="56"/>
      <c r="U18" s="56"/>
      <c r="V18" s="179">
        <f t="shared" si="7"/>
        <v>126</v>
      </c>
      <c r="W18" s="179">
        <f t="shared" si="7"/>
        <v>70</v>
      </c>
      <c r="X18" s="179">
        <f t="shared" si="7"/>
        <v>191</v>
      </c>
      <c r="Y18" s="179">
        <f t="shared" si="7"/>
        <v>0</v>
      </c>
      <c r="Z18" s="179">
        <f t="shared" si="7"/>
        <v>392</v>
      </c>
      <c r="AA18" s="179">
        <f t="shared" si="7"/>
        <v>878</v>
      </c>
      <c r="AB18" s="179">
        <f t="shared" si="7"/>
        <v>0</v>
      </c>
      <c r="AC18" s="179">
        <f t="shared" si="7"/>
        <v>10</v>
      </c>
      <c r="AD18" s="179">
        <f t="shared" si="7"/>
        <v>721</v>
      </c>
      <c r="AE18" s="179">
        <f t="shared" si="7"/>
        <v>0</v>
      </c>
      <c r="AF18" s="179">
        <f t="shared" si="7"/>
        <v>-4</v>
      </c>
      <c r="AG18" s="179">
        <f t="shared" si="7"/>
        <v>-43</v>
      </c>
      <c r="AH18" s="179">
        <f t="shared" si="8"/>
        <v>-147</v>
      </c>
      <c r="AI18" s="179">
        <f t="shared" si="8"/>
        <v>18</v>
      </c>
      <c r="AJ18" s="179">
        <f t="shared" si="8"/>
        <v>2212</v>
      </c>
      <c r="AK18" s="182">
        <f>R18+'[3]CBHP Caseload'!S18</f>
        <v>611258</v>
      </c>
      <c r="AL18" s="183">
        <f t="shared" si="9"/>
        <v>493047</v>
      </c>
      <c r="AM18" s="462">
        <v>541285</v>
      </c>
      <c r="AN18" s="178" t="b">
        <f t="shared" si="3"/>
        <v>1</v>
      </c>
    </row>
    <row r="19" spans="2:40" s="178" customFormat="1" hidden="1" x14ac:dyDescent="0.2">
      <c r="B19" s="217">
        <v>40452</v>
      </c>
      <c r="C19" s="3">
        <v>38901</v>
      </c>
      <c r="D19" s="3">
        <v>7602</v>
      </c>
      <c r="E19" s="4">
        <v>55508</v>
      </c>
      <c r="F19" s="4">
        <v>0</v>
      </c>
      <c r="G19" s="63">
        <v>77291</v>
      </c>
      <c r="H19" s="63">
        <v>26016</v>
      </c>
      <c r="I19" s="4">
        <v>0</v>
      </c>
      <c r="J19" s="3">
        <v>505</v>
      </c>
      <c r="K19" s="4">
        <v>294155</v>
      </c>
      <c r="L19" s="4">
        <v>0</v>
      </c>
      <c r="M19" s="3">
        <v>18464</v>
      </c>
      <c r="N19" s="3">
        <v>7985</v>
      </c>
      <c r="O19" s="4">
        <v>0</v>
      </c>
      <c r="P19" s="3">
        <v>3080</v>
      </c>
      <c r="Q19" s="4">
        <v>16794</v>
      </c>
      <c r="R19" s="218">
        <f t="shared" si="5"/>
        <v>546301</v>
      </c>
      <c r="S19" s="56"/>
      <c r="T19" s="56"/>
      <c r="U19" s="56"/>
      <c r="V19" s="179">
        <f t="shared" si="7"/>
        <v>127</v>
      </c>
      <c r="W19" s="179">
        <f t="shared" si="7"/>
        <v>40</v>
      </c>
      <c r="X19" s="179">
        <f t="shared" si="7"/>
        <v>285</v>
      </c>
      <c r="Y19" s="179">
        <f t="shared" si="7"/>
        <v>0</v>
      </c>
      <c r="Z19" s="179">
        <f t="shared" si="7"/>
        <v>1036</v>
      </c>
      <c r="AA19" s="179">
        <f t="shared" si="7"/>
        <v>945</v>
      </c>
      <c r="AB19" s="179">
        <f t="shared" si="7"/>
        <v>0</v>
      </c>
      <c r="AC19" s="179">
        <f t="shared" si="7"/>
        <v>2</v>
      </c>
      <c r="AD19" s="179">
        <f t="shared" si="7"/>
        <v>2563</v>
      </c>
      <c r="AE19" s="179">
        <f t="shared" si="7"/>
        <v>0</v>
      </c>
      <c r="AF19" s="179">
        <f t="shared" si="7"/>
        <v>13</v>
      </c>
      <c r="AG19" s="179">
        <f t="shared" si="7"/>
        <v>14</v>
      </c>
      <c r="AH19" s="179">
        <f t="shared" si="8"/>
        <v>-151</v>
      </c>
      <c r="AI19" s="179">
        <f t="shared" si="8"/>
        <v>142</v>
      </c>
      <c r="AJ19" s="179">
        <f t="shared" si="8"/>
        <v>5016</v>
      </c>
      <c r="AK19" s="182">
        <f>R19+'[3]CBHP Caseload'!S19</f>
        <v>614789</v>
      </c>
      <c r="AL19" s="183">
        <f t="shared" si="9"/>
        <v>495984</v>
      </c>
      <c r="AM19" s="462">
        <v>546301</v>
      </c>
      <c r="AN19" s="178" t="b">
        <f t="shared" si="3"/>
        <v>1</v>
      </c>
    </row>
    <row r="20" spans="2:40" s="178" customFormat="1" hidden="1" x14ac:dyDescent="0.2">
      <c r="B20" s="217">
        <v>40483</v>
      </c>
      <c r="C20" s="3">
        <v>39009</v>
      </c>
      <c r="D20" s="3">
        <v>7682</v>
      </c>
      <c r="E20" s="4">
        <v>55804</v>
      </c>
      <c r="F20" s="4">
        <v>0</v>
      </c>
      <c r="G20" s="63">
        <v>78278</v>
      </c>
      <c r="H20" s="63">
        <v>26924</v>
      </c>
      <c r="I20" s="4">
        <v>0</v>
      </c>
      <c r="J20" s="3">
        <v>511</v>
      </c>
      <c r="K20" s="4">
        <v>296482</v>
      </c>
      <c r="L20" s="4">
        <v>0</v>
      </c>
      <c r="M20" s="3">
        <v>18597</v>
      </c>
      <c r="N20" s="3">
        <v>7891</v>
      </c>
      <c r="O20" s="4">
        <v>0</v>
      </c>
      <c r="P20" s="3">
        <v>3049</v>
      </c>
      <c r="Q20" s="4">
        <v>16941</v>
      </c>
      <c r="R20" s="218">
        <f t="shared" si="5"/>
        <v>551168</v>
      </c>
      <c r="S20" s="56"/>
      <c r="T20" s="56"/>
      <c r="U20" s="56"/>
      <c r="V20" s="179">
        <f t="shared" si="7"/>
        <v>108</v>
      </c>
      <c r="W20" s="179">
        <f t="shared" si="7"/>
        <v>80</v>
      </c>
      <c r="X20" s="179">
        <f t="shared" si="7"/>
        <v>296</v>
      </c>
      <c r="Y20" s="179">
        <f t="shared" si="7"/>
        <v>0</v>
      </c>
      <c r="Z20" s="179">
        <f t="shared" si="7"/>
        <v>987</v>
      </c>
      <c r="AA20" s="179">
        <f t="shared" si="7"/>
        <v>908</v>
      </c>
      <c r="AB20" s="179">
        <f t="shared" si="7"/>
        <v>0</v>
      </c>
      <c r="AC20" s="179">
        <f t="shared" si="7"/>
        <v>6</v>
      </c>
      <c r="AD20" s="179">
        <f t="shared" si="7"/>
        <v>2327</v>
      </c>
      <c r="AE20" s="179">
        <f t="shared" si="7"/>
        <v>0</v>
      </c>
      <c r="AF20" s="179">
        <f t="shared" si="7"/>
        <v>133</v>
      </c>
      <c r="AG20" s="179">
        <f t="shared" si="7"/>
        <v>-94</v>
      </c>
      <c r="AH20" s="179">
        <f t="shared" si="8"/>
        <v>-31</v>
      </c>
      <c r="AI20" s="179">
        <f t="shared" si="8"/>
        <v>147</v>
      </c>
      <c r="AJ20" s="179">
        <f t="shared" si="8"/>
        <v>4867</v>
      </c>
      <c r="AK20" s="182">
        <f>R20+'[3]CBHP Caseload'!S20</f>
        <v>619215</v>
      </c>
      <c r="AL20" s="183">
        <f t="shared" si="9"/>
        <v>499779</v>
      </c>
      <c r="AM20" s="462">
        <v>551168</v>
      </c>
      <c r="AN20" s="178" t="b">
        <f t="shared" si="3"/>
        <v>1</v>
      </c>
    </row>
    <row r="21" spans="2:40" s="178" customFormat="1" hidden="1" x14ac:dyDescent="0.2">
      <c r="B21" s="217">
        <v>40513</v>
      </c>
      <c r="C21" s="3">
        <v>38769</v>
      </c>
      <c r="D21" s="3">
        <v>7721</v>
      </c>
      <c r="E21" s="4">
        <v>55937</v>
      </c>
      <c r="F21" s="4">
        <v>0</v>
      </c>
      <c r="G21" s="63">
        <v>79773</v>
      </c>
      <c r="H21" s="63">
        <v>27596</v>
      </c>
      <c r="I21" s="4">
        <v>0</v>
      </c>
      <c r="J21" s="3">
        <v>526</v>
      </c>
      <c r="K21" s="4">
        <v>299499</v>
      </c>
      <c r="L21" s="4">
        <v>0</v>
      </c>
      <c r="M21" s="3">
        <v>18510</v>
      </c>
      <c r="N21" s="3">
        <v>7764</v>
      </c>
      <c r="O21" s="4">
        <v>0</v>
      </c>
      <c r="P21" s="3">
        <v>3023</v>
      </c>
      <c r="Q21" s="3">
        <v>17002</v>
      </c>
      <c r="R21" s="218">
        <f t="shared" si="5"/>
        <v>556120</v>
      </c>
      <c r="S21" s="56"/>
      <c r="T21" s="56"/>
      <c r="U21" s="56"/>
      <c r="V21" s="179">
        <f t="shared" si="7"/>
        <v>-240</v>
      </c>
      <c r="W21" s="179">
        <f t="shared" si="7"/>
        <v>39</v>
      </c>
      <c r="X21" s="179">
        <f t="shared" si="7"/>
        <v>133</v>
      </c>
      <c r="Y21" s="179">
        <f t="shared" si="7"/>
        <v>0</v>
      </c>
      <c r="Z21" s="179">
        <f t="shared" si="7"/>
        <v>1495</v>
      </c>
      <c r="AA21" s="179">
        <f t="shared" si="7"/>
        <v>672</v>
      </c>
      <c r="AB21" s="179">
        <f t="shared" si="7"/>
        <v>0</v>
      </c>
      <c r="AC21" s="179">
        <f t="shared" si="7"/>
        <v>15</v>
      </c>
      <c r="AD21" s="179">
        <f t="shared" si="7"/>
        <v>3017</v>
      </c>
      <c r="AE21" s="179">
        <f t="shared" si="7"/>
        <v>0</v>
      </c>
      <c r="AF21" s="179">
        <f t="shared" si="7"/>
        <v>-87</v>
      </c>
      <c r="AG21" s="179">
        <f t="shared" si="7"/>
        <v>-127</v>
      </c>
      <c r="AH21" s="179">
        <f t="shared" si="8"/>
        <v>-26</v>
      </c>
      <c r="AI21" s="179">
        <f t="shared" si="8"/>
        <v>61</v>
      </c>
      <c r="AJ21" s="179">
        <f t="shared" si="8"/>
        <v>4952</v>
      </c>
      <c r="AK21" s="182">
        <f>R21+'[3]CBHP Caseload'!S21</f>
        <v>624398</v>
      </c>
      <c r="AL21" s="183">
        <f t="shared" si="9"/>
        <v>504969</v>
      </c>
      <c r="AM21" s="462">
        <v>556120</v>
      </c>
      <c r="AN21" s="178" t="b">
        <f t="shared" si="3"/>
        <v>1</v>
      </c>
    </row>
    <row r="22" spans="2:40" s="178" customFormat="1" hidden="1" x14ac:dyDescent="0.2">
      <c r="B22" s="217">
        <v>40544</v>
      </c>
      <c r="C22" s="3">
        <v>38813</v>
      </c>
      <c r="D22" s="3">
        <v>7781</v>
      </c>
      <c r="E22" s="4">
        <v>56417</v>
      </c>
      <c r="F22" s="4">
        <v>0</v>
      </c>
      <c r="G22" s="64">
        <v>82824</v>
      </c>
      <c r="H22" s="63">
        <v>27188</v>
      </c>
      <c r="I22" s="3">
        <v>0</v>
      </c>
      <c r="J22" s="3">
        <v>532</v>
      </c>
      <c r="K22" s="4">
        <v>304042</v>
      </c>
      <c r="L22" s="3">
        <v>0</v>
      </c>
      <c r="M22" s="3">
        <v>18386</v>
      </c>
      <c r="N22" s="3">
        <v>7806</v>
      </c>
      <c r="O22" s="3">
        <v>0</v>
      </c>
      <c r="P22" s="3">
        <v>3116</v>
      </c>
      <c r="Q22" s="3">
        <v>17210</v>
      </c>
      <c r="R22" s="218">
        <f t="shared" si="5"/>
        <v>564115</v>
      </c>
      <c r="S22" s="56"/>
      <c r="T22" s="56"/>
      <c r="U22" s="56"/>
      <c r="V22" s="179">
        <f t="shared" si="7"/>
        <v>44</v>
      </c>
      <c r="W22" s="179">
        <f t="shared" si="7"/>
        <v>60</v>
      </c>
      <c r="X22" s="179">
        <f t="shared" si="7"/>
        <v>480</v>
      </c>
      <c r="Y22" s="179">
        <f t="shared" si="7"/>
        <v>0</v>
      </c>
      <c r="Z22" s="179">
        <f t="shared" si="7"/>
        <v>3051</v>
      </c>
      <c r="AA22" s="179">
        <f t="shared" si="7"/>
        <v>-408</v>
      </c>
      <c r="AB22" s="179">
        <f t="shared" si="7"/>
        <v>0</v>
      </c>
      <c r="AC22" s="179">
        <f t="shared" si="7"/>
        <v>6</v>
      </c>
      <c r="AD22" s="179">
        <f t="shared" si="7"/>
        <v>4543</v>
      </c>
      <c r="AE22" s="179">
        <f t="shared" si="7"/>
        <v>0</v>
      </c>
      <c r="AF22" s="179">
        <f t="shared" si="7"/>
        <v>-124</v>
      </c>
      <c r="AG22" s="179">
        <f t="shared" si="7"/>
        <v>42</v>
      </c>
      <c r="AH22" s="179">
        <f t="shared" si="8"/>
        <v>93</v>
      </c>
      <c r="AI22" s="179">
        <f t="shared" si="8"/>
        <v>208</v>
      </c>
      <c r="AJ22" s="179">
        <f t="shared" si="8"/>
        <v>7995</v>
      </c>
      <c r="AK22" s="182">
        <f>R22+'[3]CBHP Caseload'!S22</f>
        <v>633336</v>
      </c>
      <c r="AL22" s="183">
        <f t="shared" si="9"/>
        <v>513115</v>
      </c>
      <c r="AM22" s="462">
        <v>564115</v>
      </c>
      <c r="AN22" s="178" t="b">
        <f t="shared" si="3"/>
        <v>1</v>
      </c>
    </row>
    <row r="23" spans="2:40" s="178" customFormat="1" hidden="1" x14ac:dyDescent="0.2">
      <c r="B23" s="217">
        <v>40575</v>
      </c>
      <c r="C23" s="3">
        <v>38823</v>
      </c>
      <c r="D23" s="3">
        <v>7870</v>
      </c>
      <c r="E23" s="3">
        <v>56671</v>
      </c>
      <c r="F23" s="3">
        <v>0</v>
      </c>
      <c r="G23" s="63">
        <v>83547</v>
      </c>
      <c r="H23" s="63">
        <v>28323</v>
      </c>
      <c r="I23" s="3">
        <v>0</v>
      </c>
      <c r="J23" s="3">
        <v>535</v>
      </c>
      <c r="K23" s="3">
        <v>307032</v>
      </c>
      <c r="L23" s="3">
        <v>0</v>
      </c>
      <c r="M23" s="3">
        <v>18200</v>
      </c>
      <c r="N23" s="3">
        <v>7677</v>
      </c>
      <c r="O23" s="3">
        <v>0</v>
      </c>
      <c r="P23" s="3">
        <v>3161</v>
      </c>
      <c r="Q23" s="3">
        <v>17249</v>
      </c>
      <c r="R23" s="218">
        <f t="shared" si="5"/>
        <v>569088</v>
      </c>
      <c r="S23" s="56"/>
      <c r="T23" s="56"/>
      <c r="U23" s="56"/>
      <c r="V23" s="179">
        <f t="shared" si="7"/>
        <v>10</v>
      </c>
      <c r="W23" s="179">
        <f t="shared" si="7"/>
        <v>89</v>
      </c>
      <c r="X23" s="179">
        <f t="shared" si="7"/>
        <v>254</v>
      </c>
      <c r="Y23" s="179">
        <f t="shared" si="7"/>
        <v>0</v>
      </c>
      <c r="Z23" s="179">
        <f t="shared" si="7"/>
        <v>723</v>
      </c>
      <c r="AA23" s="179">
        <f t="shared" si="7"/>
        <v>1135</v>
      </c>
      <c r="AB23" s="179">
        <f t="shared" si="7"/>
        <v>0</v>
      </c>
      <c r="AC23" s="179">
        <f t="shared" si="7"/>
        <v>3</v>
      </c>
      <c r="AD23" s="179">
        <f t="shared" si="7"/>
        <v>2990</v>
      </c>
      <c r="AE23" s="179">
        <f t="shared" si="7"/>
        <v>0</v>
      </c>
      <c r="AF23" s="179">
        <f t="shared" si="7"/>
        <v>-186</v>
      </c>
      <c r="AG23" s="179">
        <f t="shared" si="7"/>
        <v>-129</v>
      </c>
      <c r="AH23" s="179">
        <f t="shared" si="8"/>
        <v>45</v>
      </c>
      <c r="AI23" s="179">
        <f t="shared" si="8"/>
        <v>39</v>
      </c>
      <c r="AJ23" s="179">
        <f t="shared" si="8"/>
        <v>4973</v>
      </c>
      <c r="AK23" s="182">
        <f>R23+'[3]CBHP Caseload'!S23</f>
        <v>638743</v>
      </c>
      <c r="AL23" s="183">
        <f t="shared" si="9"/>
        <v>518130</v>
      </c>
      <c r="AM23" s="462">
        <v>569088</v>
      </c>
      <c r="AN23" s="178" t="b">
        <f t="shared" si="3"/>
        <v>1</v>
      </c>
    </row>
    <row r="24" spans="2:40" s="178" customFormat="1" hidden="1" x14ac:dyDescent="0.2">
      <c r="B24" s="217">
        <v>40603</v>
      </c>
      <c r="C24" s="3">
        <v>38939</v>
      </c>
      <c r="D24" s="3">
        <v>7966</v>
      </c>
      <c r="E24" s="4">
        <v>57103</v>
      </c>
      <c r="F24" s="4">
        <v>0</v>
      </c>
      <c r="G24" s="63">
        <v>85574</v>
      </c>
      <c r="H24" s="63">
        <v>28968</v>
      </c>
      <c r="I24" s="4">
        <v>0</v>
      </c>
      <c r="J24" s="3">
        <v>556</v>
      </c>
      <c r="K24" s="4">
        <v>312300</v>
      </c>
      <c r="L24" s="4">
        <v>0</v>
      </c>
      <c r="M24" s="3">
        <v>18244</v>
      </c>
      <c r="N24" s="3">
        <v>7881</v>
      </c>
      <c r="O24" s="4">
        <v>0</v>
      </c>
      <c r="P24" s="3">
        <v>3271</v>
      </c>
      <c r="Q24" s="4">
        <v>17390</v>
      </c>
      <c r="R24" s="218">
        <f t="shared" si="5"/>
        <v>578192</v>
      </c>
      <c r="S24" s="56"/>
      <c r="T24" s="56"/>
      <c r="U24" s="56"/>
      <c r="V24" s="179">
        <f t="shared" si="7"/>
        <v>116</v>
      </c>
      <c r="W24" s="179">
        <f t="shared" si="7"/>
        <v>96</v>
      </c>
      <c r="X24" s="179">
        <f t="shared" si="7"/>
        <v>432</v>
      </c>
      <c r="Y24" s="179">
        <f t="shared" si="7"/>
        <v>0</v>
      </c>
      <c r="Z24" s="179">
        <f t="shared" si="7"/>
        <v>2027</v>
      </c>
      <c r="AA24" s="179">
        <f t="shared" si="7"/>
        <v>645</v>
      </c>
      <c r="AB24" s="179">
        <f t="shared" si="7"/>
        <v>0</v>
      </c>
      <c r="AC24" s="179">
        <f t="shared" si="7"/>
        <v>21</v>
      </c>
      <c r="AD24" s="179">
        <f t="shared" si="7"/>
        <v>5268</v>
      </c>
      <c r="AE24" s="179">
        <f t="shared" si="7"/>
        <v>0</v>
      </c>
      <c r="AF24" s="179">
        <f t="shared" si="7"/>
        <v>44</v>
      </c>
      <c r="AG24" s="179">
        <f t="shared" si="7"/>
        <v>204</v>
      </c>
      <c r="AH24" s="179">
        <f t="shared" si="8"/>
        <v>110</v>
      </c>
      <c r="AI24" s="179">
        <f t="shared" si="8"/>
        <v>141</v>
      </c>
      <c r="AJ24" s="179">
        <f t="shared" si="8"/>
        <v>9104</v>
      </c>
      <c r="AK24" s="182">
        <f>R24+'[3]CBHP Caseload'!S24</f>
        <v>648630</v>
      </c>
      <c r="AL24" s="183">
        <f t="shared" si="9"/>
        <v>527232</v>
      </c>
      <c r="AM24" s="462">
        <v>578192</v>
      </c>
      <c r="AN24" s="178" t="b">
        <f t="shared" si="3"/>
        <v>1</v>
      </c>
    </row>
    <row r="25" spans="2:40" s="178" customFormat="1" hidden="1" x14ac:dyDescent="0.2">
      <c r="B25" s="217">
        <v>40634</v>
      </c>
      <c r="C25" s="3">
        <v>38861</v>
      </c>
      <c r="D25" s="3">
        <v>7987</v>
      </c>
      <c r="E25" s="4">
        <v>57385</v>
      </c>
      <c r="F25" s="4">
        <v>0</v>
      </c>
      <c r="G25" s="63">
        <v>85763</v>
      </c>
      <c r="H25" s="63">
        <v>29451</v>
      </c>
      <c r="I25" s="4">
        <v>0</v>
      </c>
      <c r="J25" s="3">
        <v>569</v>
      </c>
      <c r="K25" s="4">
        <v>312603</v>
      </c>
      <c r="L25" s="4">
        <v>0</v>
      </c>
      <c r="M25" s="3">
        <v>18280</v>
      </c>
      <c r="N25" s="3">
        <v>7864</v>
      </c>
      <c r="O25" s="4">
        <v>0</v>
      </c>
      <c r="P25" s="3">
        <v>3274</v>
      </c>
      <c r="Q25" s="4">
        <v>17399</v>
      </c>
      <c r="R25" s="218">
        <f t="shared" si="5"/>
        <v>579436</v>
      </c>
      <c r="S25" s="56"/>
      <c r="T25" s="56"/>
      <c r="U25" s="56"/>
      <c r="V25" s="179">
        <f t="shared" si="7"/>
        <v>-78</v>
      </c>
      <c r="W25" s="179">
        <f t="shared" si="7"/>
        <v>21</v>
      </c>
      <c r="X25" s="179">
        <f t="shared" si="7"/>
        <v>282</v>
      </c>
      <c r="Y25" s="179">
        <f t="shared" si="7"/>
        <v>0</v>
      </c>
      <c r="Z25" s="179">
        <f t="shared" si="7"/>
        <v>189</v>
      </c>
      <c r="AA25" s="179">
        <f t="shared" si="7"/>
        <v>483</v>
      </c>
      <c r="AB25" s="179">
        <f t="shared" si="7"/>
        <v>0</v>
      </c>
      <c r="AC25" s="179">
        <f t="shared" si="7"/>
        <v>13</v>
      </c>
      <c r="AD25" s="179">
        <f t="shared" si="7"/>
        <v>303</v>
      </c>
      <c r="AE25" s="179">
        <f t="shared" si="7"/>
        <v>0</v>
      </c>
      <c r="AF25" s="179">
        <f t="shared" si="7"/>
        <v>36</v>
      </c>
      <c r="AG25" s="179">
        <f t="shared" si="7"/>
        <v>-17</v>
      </c>
      <c r="AH25" s="179">
        <f t="shared" si="8"/>
        <v>3</v>
      </c>
      <c r="AI25" s="179">
        <f t="shared" si="8"/>
        <v>9</v>
      </c>
      <c r="AJ25" s="179">
        <f t="shared" si="8"/>
        <v>1244</v>
      </c>
      <c r="AK25" s="182">
        <f>R25+'[3]CBHP Caseload'!S25</f>
        <v>648924</v>
      </c>
      <c r="AL25" s="183">
        <f t="shared" si="9"/>
        <v>527292</v>
      </c>
      <c r="AM25" s="462">
        <v>579436</v>
      </c>
      <c r="AN25" s="178" t="b">
        <f t="shared" si="3"/>
        <v>1</v>
      </c>
    </row>
    <row r="26" spans="2:40" s="178" customFormat="1" hidden="1" x14ac:dyDescent="0.2">
      <c r="B26" s="217">
        <v>40664</v>
      </c>
      <c r="C26" s="3">
        <v>38981</v>
      </c>
      <c r="D26" s="3">
        <v>8051</v>
      </c>
      <c r="E26" s="4">
        <v>57608</v>
      </c>
      <c r="F26" s="4">
        <v>0</v>
      </c>
      <c r="G26" s="63">
        <v>86596</v>
      </c>
      <c r="H26" s="63">
        <v>30102</v>
      </c>
      <c r="I26" s="4">
        <v>0</v>
      </c>
      <c r="J26" s="3">
        <v>587</v>
      </c>
      <c r="K26" s="4">
        <v>315116</v>
      </c>
      <c r="L26" s="4">
        <v>0</v>
      </c>
      <c r="M26" s="3">
        <v>18279</v>
      </c>
      <c r="N26" s="3">
        <v>7830</v>
      </c>
      <c r="O26" s="4">
        <v>0</v>
      </c>
      <c r="P26" s="3">
        <v>3255</v>
      </c>
      <c r="Q26" s="4">
        <v>17546</v>
      </c>
      <c r="R26" s="218">
        <f t="shared" si="5"/>
        <v>583951</v>
      </c>
      <c r="S26" s="56"/>
      <c r="T26" s="56"/>
      <c r="U26" s="56"/>
      <c r="V26" s="179">
        <f t="shared" si="7"/>
        <v>120</v>
      </c>
      <c r="W26" s="179">
        <f t="shared" si="7"/>
        <v>64</v>
      </c>
      <c r="X26" s="179">
        <f t="shared" si="7"/>
        <v>223</v>
      </c>
      <c r="Y26" s="179">
        <f t="shared" si="7"/>
        <v>0</v>
      </c>
      <c r="Z26" s="179">
        <f t="shared" si="7"/>
        <v>833</v>
      </c>
      <c r="AA26" s="179">
        <f t="shared" si="7"/>
        <v>651</v>
      </c>
      <c r="AB26" s="179">
        <f t="shared" si="7"/>
        <v>0</v>
      </c>
      <c r="AC26" s="179">
        <f t="shared" si="7"/>
        <v>18</v>
      </c>
      <c r="AD26" s="179">
        <f t="shared" si="7"/>
        <v>2513</v>
      </c>
      <c r="AE26" s="179">
        <f t="shared" si="7"/>
        <v>0</v>
      </c>
      <c r="AF26" s="179">
        <f t="shared" si="7"/>
        <v>-1</v>
      </c>
      <c r="AG26" s="179">
        <f t="shared" si="7"/>
        <v>-34</v>
      </c>
      <c r="AH26" s="179">
        <f t="shared" si="8"/>
        <v>-19</v>
      </c>
      <c r="AI26" s="179">
        <f t="shared" si="8"/>
        <v>147</v>
      </c>
      <c r="AJ26" s="179">
        <f t="shared" si="8"/>
        <v>4515</v>
      </c>
      <c r="AK26" s="182">
        <f>R26+'[3]CBHP Caseload'!S26</f>
        <v>650873</v>
      </c>
      <c r="AL26" s="183">
        <f t="shared" si="9"/>
        <v>528687</v>
      </c>
      <c r="AM26" s="462">
        <v>583951</v>
      </c>
      <c r="AN26" s="178" t="b">
        <f t="shared" si="3"/>
        <v>1</v>
      </c>
    </row>
    <row r="27" spans="2:40" s="178" customFormat="1" hidden="1" x14ac:dyDescent="0.2">
      <c r="B27" s="217">
        <v>40695</v>
      </c>
      <c r="C27" s="3">
        <v>39154</v>
      </c>
      <c r="D27" s="3">
        <v>8089</v>
      </c>
      <c r="E27" s="4">
        <v>57986</v>
      </c>
      <c r="F27" s="4">
        <v>0</v>
      </c>
      <c r="G27" s="63">
        <v>87827</v>
      </c>
      <c r="H27" s="63">
        <v>30724</v>
      </c>
      <c r="I27" s="4">
        <v>0</v>
      </c>
      <c r="J27" s="3">
        <v>589</v>
      </c>
      <c r="K27" s="4">
        <v>317551</v>
      </c>
      <c r="L27" s="4">
        <v>0</v>
      </c>
      <c r="M27" s="3">
        <v>18221</v>
      </c>
      <c r="N27" s="3">
        <v>7828</v>
      </c>
      <c r="O27" s="4">
        <v>0</v>
      </c>
      <c r="P27" s="3">
        <v>3229</v>
      </c>
      <c r="Q27" s="4">
        <v>17727</v>
      </c>
      <c r="R27" s="218">
        <f t="shared" si="5"/>
        <v>588925</v>
      </c>
      <c r="S27" s="56"/>
      <c r="T27" s="56"/>
      <c r="U27" s="56"/>
      <c r="V27" s="179">
        <f t="shared" si="7"/>
        <v>173</v>
      </c>
      <c r="W27" s="179">
        <f t="shared" si="7"/>
        <v>38</v>
      </c>
      <c r="X27" s="179">
        <f t="shared" si="7"/>
        <v>378</v>
      </c>
      <c r="Y27" s="179">
        <f t="shared" si="7"/>
        <v>0</v>
      </c>
      <c r="Z27" s="179">
        <f t="shared" si="7"/>
        <v>1231</v>
      </c>
      <c r="AA27" s="179">
        <f t="shared" si="7"/>
        <v>622</v>
      </c>
      <c r="AB27" s="179">
        <f t="shared" si="7"/>
        <v>0</v>
      </c>
      <c r="AC27" s="179">
        <f t="shared" si="7"/>
        <v>2</v>
      </c>
      <c r="AD27" s="179">
        <f t="shared" si="7"/>
        <v>2435</v>
      </c>
      <c r="AE27" s="179">
        <f t="shared" si="7"/>
        <v>0</v>
      </c>
      <c r="AF27" s="179">
        <f t="shared" si="7"/>
        <v>-58</v>
      </c>
      <c r="AG27" s="179">
        <f t="shared" si="7"/>
        <v>-2</v>
      </c>
      <c r="AH27" s="179">
        <f>P27-P26</f>
        <v>-26</v>
      </c>
      <c r="AI27" s="179">
        <f>Q27-Q26</f>
        <v>181</v>
      </c>
      <c r="AJ27" s="179">
        <f>R27-R26</f>
        <v>4974</v>
      </c>
      <c r="AK27" s="182">
        <f>R27+'[3]CBHP Caseload'!S27</f>
        <v>654685</v>
      </c>
      <c r="AL27" s="183">
        <f t="shared" si="9"/>
        <v>531729</v>
      </c>
      <c r="AM27" s="462">
        <v>588925</v>
      </c>
      <c r="AN27" s="178" t="b">
        <f t="shared" si="3"/>
        <v>1</v>
      </c>
    </row>
    <row r="28" spans="2:40" s="180" customFormat="1" hidden="1" x14ac:dyDescent="0.25">
      <c r="B28" s="219" t="s">
        <v>102</v>
      </c>
      <c r="C28" s="7">
        <f>ROUND(AVERAGE(C16:C27),0)</f>
        <v>38879</v>
      </c>
      <c r="D28" s="7">
        <f t="shared" ref="D28:P28" si="10">ROUND(AVERAGE(D16:D27),0)</f>
        <v>7767</v>
      </c>
      <c r="E28" s="7">
        <f t="shared" si="10"/>
        <v>56285</v>
      </c>
      <c r="F28" s="7">
        <v>0</v>
      </c>
      <c r="G28" s="7">
        <f>ROUND(AVERAGE(G16:G27),0)+1</f>
        <v>81114</v>
      </c>
      <c r="H28" s="7">
        <f t="shared" si="10"/>
        <v>27167</v>
      </c>
      <c r="I28" s="7">
        <v>0</v>
      </c>
      <c r="J28" s="7">
        <f>ROUND(AVERAGE(J16:J27),0)</f>
        <v>531</v>
      </c>
      <c r="K28" s="7">
        <f>ROUND(AVERAGE(K16:K27),0)</f>
        <v>302410</v>
      </c>
      <c r="L28" s="7">
        <v>0</v>
      </c>
      <c r="M28" s="7">
        <f t="shared" si="10"/>
        <v>18393</v>
      </c>
      <c r="N28" s="7">
        <f t="shared" si="10"/>
        <v>7868</v>
      </c>
      <c r="O28" s="7">
        <v>0</v>
      </c>
      <c r="P28" s="7">
        <f t="shared" si="10"/>
        <v>3213</v>
      </c>
      <c r="Q28" s="7">
        <f>ROUND(AVERAGE(Q16:Q27),0)</f>
        <v>17090</v>
      </c>
      <c r="R28" s="220">
        <f>SUM(C28:Q28)</f>
        <v>560717</v>
      </c>
      <c r="S28" s="57"/>
      <c r="T28" s="57"/>
      <c r="U28" s="57"/>
      <c r="W28" s="578"/>
      <c r="AM28" s="181">
        <v>560717</v>
      </c>
      <c r="AN28" s="178" t="b">
        <f t="shared" si="3"/>
        <v>1</v>
      </c>
    </row>
    <row r="29" spans="2:40" s="180" customFormat="1" hidden="1" x14ac:dyDescent="0.2">
      <c r="B29" s="217">
        <v>40725</v>
      </c>
      <c r="C29" s="3">
        <v>39341</v>
      </c>
      <c r="D29" s="3">
        <v>8133</v>
      </c>
      <c r="E29" s="3">
        <v>58294</v>
      </c>
      <c r="F29" s="3">
        <v>0</v>
      </c>
      <c r="G29" s="63">
        <v>87556</v>
      </c>
      <c r="H29" s="63">
        <v>31920</v>
      </c>
      <c r="I29" s="3">
        <v>0</v>
      </c>
      <c r="J29" s="3">
        <v>587</v>
      </c>
      <c r="K29" s="3">
        <v>319065</v>
      </c>
      <c r="L29" s="3">
        <v>0</v>
      </c>
      <c r="M29" s="3">
        <v>18125</v>
      </c>
      <c r="N29" s="3">
        <v>7810</v>
      </c>
      <c r="O29" s="3">
        <v>0</v>
      </c>
      <c r="P29" s="3">
        <v>3089</v>
      </c>
      <c r="Q29" s="3">
        <v>17923</v>
      </c>
      <c r="R29" s="218">
        <f t="shared" si="5"/>
        <v>591843</v>
      </c>
      <c r="S29" s="5" t="b">
        <f t="shared" ref="S29:S51" si="11">R29=SUM(C29:Q29)</f>
        <v>1</v>
      </c>
      <c r="T29" s="5"/>
      <c r="U29" s="5"/>
      <c r="V29" s="179">
        <f t="shared" ref="V29:AG29" si="12">C29-C27</f>
        <v>187</v>
      </c>
      <c r="W29" s="179">
        <f t="shared" si="12"/>
        <v>44</v>
      </c>
      <c r="X29" s="179">
        <f t="shared" si="12"/>
        <v>308</v>
      </c>
      <c r="Y29" s="179">
        <f t="shared" si="12"/>
        <v>0</v>
      </c>
      <c r="Z29" s="179">
        <f t="shared" si="12"/>
        <v>-271</v>
      </c>
      <c r="AA29" s="179">
        <f t="shared" si="12"/>
        <v>1196</v>
      </c>
      <c r="AB29" s="179">
        <f t="shared" si="12"/>
        <v>0</v>
      </c>
      <c r="AC29" s="179">
        <f t="shared" si="12"/>
        <v>-2</v>
      </c>
      <c r="AD29" s="179">
        <f t="shared" si="12"/>
        <v>1514</v>
      </c>
      <c r="AE29" s="179">
        <f t="shared" si="12"/>
        <v>0</v>
      </c>
      <c r="AF29" s="179">
        <f t="shared" si="12"/>
        <v>-96</v>
      </c>
      <c r="AG29" s="179">
        <f t="shared" si="12"/>
        <v>-18</v>
      </c>
      <c r="AH29" s="179">
        <f>P29-P27</f>
        <v>-140</v>
      </c>
      <c r="AI29" s="179">
        <f>Q29-Q27</f>
        <v>196</v>
      </c>
      <c r="AJ29" s="179">
        <f>R29-R27</f>
        <v>2918</v>
      </c>
      <c r="AK29" s="182">
        <f>R29+'[3]CBHP Caseload'!S29</f>
        <v>657380</v>
      </c>
      <c r="AL29" s="183">
        <f t="shared" si="9"/>
        <v>533689</v>
      </c>
      <c r="AM29" s="181">
        <v>591843</v>
      </c>
      <c r="AN29" s="178" t="b">
        <f t="shared" si="3"/>
        <v>1</v>
      </c>
    </row>
    <row r="30" spans="2:40" s="180" customFormat="1" hidden="1" x14ac:dyDescent="0.2">
      <c r="B30" s="217">
        <v>40756</v>
      </c>
      <c r="C30" s="3">
        <v>39537</v>
      </c>
      <c r="D30" s="3">
        <v>8222</v>
      </c>
      <c r="E30" s="3">
        <v>58712</v>
      </c>
      <c r="F30" s="3">
        <v>0</v>
      </c>
      <c r="G30" s="63">
        <v>88518</v>
      </c>
      <c r="H30" s="63">
        <v>32462</v>
      </c>
      <c r="I30" s="3">
        <v>0</v>
      </c>
      <c r="J30" s="3">
        <v>586</v>
      </c>
      <c r="K30" s="3">
        <v>322779</v>
      </c>
      <c r="L30" s="3">
        <v>0</v>
      </c>
      <c r="M30" s="3">
        <v>18084</v>
      </c>
      <c r="N30" s="3">
        <v>7786</v>
      </c>
      <c r="O30" s="3">
        <v>0</v>
      </c>
      <c r="P30" s="3">
        <v>2973</v>
      </c>
      <c r="Q30" s="3">
        <v>18046</v>
      </c>
      <c r="R30" s="218">
        <f t="shared" si="5"/>
        <v>597705</v>
      </c>
      <c r="S30" s="5" t="b">
        <f t="shared" si="11"/>
        <v>1</v>
      </c>
      <c r="T30" s="5"/>
      <c r="U30" s="5"/>
      <c r="V30" s="179">
        <f t="shared" ref="V30:AG40" si="13">C30-C29</f>
        <v>196</v>
      </c>
      <c r="W30" s="179">
        <f t="shared" si="13"/>
        <v>89</v>
      </c>
      <c r="X30" s="179">
        <f t="shared" si="13"/>
        <v>418</v>
      </c>
      <c r="Y30" s="179">
        <f t="shared" si="13"/>
        <v>0</v>
      </c>
      <c r="Z30" s="179">
        <f t="shared" si="13"/>
        <v>962</v>
      </c>
      <c r="AA30" s="179">
        <f t="shared" si="13"/>
        <v>542</v>
      </c>
      <c r="AB30" s="179">
        <f t="shared" si="13"/>
        <v>0</v>
      </c>
      <c r="AC30" s="179">
        <f t="shared" si="13"/>
        <v>-1</v>
      </c>
      <c r="AD30" s="179">
        <f t="shared" si="13"/>
        <v>3714</v>
      </c>
      <c r="AE30" s="179">
        <f t="shared" si="13"/>
        <v>0</v>
      </c>
      <c r="AF30" s="179">
        <f t="shared" si="13"/>
        <v>-41</v>
      </c>
      <c r="AG30" s="179">
        <f t="shared" si="13"/>
        <v>-24</v>
      </c>
      <c r="AH30" s="179">
        <f>P30-P29</f>
        <v>-116</v>
      </c>
      <c r="AI30" s="179">
        <f>Q30-Q29</f>
        <v>123</v>
      </c>
      <c r="AJ30" s="179">
        <f>R30-R29</f>
        <v>5862</v>
      </c>
      <c r="AK30" s="182">
        <f>R30+'[3]CBHP Caseload'!S30</f>
        <v>663696</v>
      </c>
      <c r="AL30" s="183">
        <f t="shared" si="9"/>
        <v>539179</v>
      </c>
      <c r="AM30" s="181">
        <v>597705</v>
      </c>
      <c r="AN30" s="178" t="b">
        <f t="shared" si="3"/>
        <v>1</v>
      </c>
    </row>
    <row r="31" spans="2:40" s="180" customFormat="1" hidden="1" x14ac:dyDescent="0.2">
      <c r="B31" s="217">
        <v>40787</v>
      </c>
      <c r="C31" s="3">
        <v>39600</v>
      </c>
      <c r="D31" s="3">
        <v>8280</v>
      </c>
      <c r="E31" s="3">
        <v>58937</v>
      </c>
      <c r="F31" s="3">
        <v>0</v>
      </c>
      <c r="G31" s="63">
        <v>90001</v>
      </c>
      <c r="H31" s="63">
        <v>33152</v>
      </c>
      <c r="I31" s="3">
        <v>0</v>
      </c>
      <c r="J31" s="3">
        <v>590</v>
      </c>
      <c r="K31" s="3">
        <v>325673</v>
      </c>
      <c r="L31" s="3">
        <v>0</v>
      </c>
      <c r="M31" s="3">
        <v>18119</v>
      </c>
      <c r="N31" s="3">
        <v>7628</v>
      </c>
      <c r="O31" s="3">
        <v>0</v>
      </c>
      <c r="P31" s="3">
        <v>2774</v>
      </c>
      <c r="Q31" s="3">
        <v>18156</v>
      </c>
      <c r="R31" s="218">
        <f t="shared" si="5"/>
        <v>602910</v>
      </c>
      <c r="S31" s="5" t="b">
        <f t="shared" si="11"/>
        <v>1</v>
      </c>
      <c r="T31" s="5"/>
      <c r="U31" s="5"/>
      <c r="V31" s="179">
        <f t="shared" si="13"/>
        <v>63</v>
      </c>
      <c r="W31" s="179">
        <f t="shared" si="13"/>
        <v>58</v>
      </c>
      <c r="X31" s="179">
        <f t="shared" si="13"/>
        <v>225</v>
      </c>
      <c r="Y31" s="179">
        <f t="shared" si="13"/>
        <v>0</v>
      </c>
      <c r="Z31" s="179">
        <f t="shared" si="13"/>
        <v>1483</v>
      </c>
      <c r="AA31" s="179">
        <f t="shared" si="13"/>
        <v>690</v>
      </c>
      <c r="AB31" s="179">
        <f t="shared" si="13"/>
        <v>0</v>
      </c>
      <c r="AC31" s="179">
        <f t="shared" si="13"/>
        <v>4</v>
      </c>
      <c r="AD31" s="179">
        <f t="shared" si="13"/>
        <v>2894</v>
      </c>
      <c r="AE31" s="179">
        <f t="shared" si="13"/>
        <v>0</v>
      </c>
      <c r="AF31" s="179">
        <f t="shared" si="13"/>
        <v>35</v>
      </c>
      <c r="AG31" s="179">
        <f t="shared" si="13"/>
        <v>-158</v>
      </c>
      <c r="AH31" s="179">
        <f t="shared" ref="AH31:AJ40" si="14">P31-P30</f>
        <v>-199</v>
      </c>
      <c r="AI31" s="179">
        <f t="shared" si="14"/>
        <v>110</v>
      </c>
      <c r="AJ31" s="179">
        <f t="shared" si="14"/>
        <v>5205</v>
      </c>
      <c r="AK31" s="182">
        <f>R31+'[3]CBHP Caseload'!S31</f>
        <v>669601</v>
      </c>
      <c r="AL31" s="183">
        <f t="shared" si="9"/>
        <v>544628</v>
      </c>
      <c r="AM31" s="181">
        <v>602910</v>
      </c>
      <c r="AN31" s="178" t="b">
        <f t="shared" si="3"/>
        <v>1</v>
      </c>
    </row>
    <row r="32" spans="2:40" s="180" customFormat="1" hidden="1" x14ac:dyDescent="0.2">
      <c r="B32" s="217">
        <v>40817</v>
      </c>
      <c r="C32" s="3">
        <v>39697</v>
      </c>
      <c r="D32" s="3">
        <v>8328</v>
      </c>
      <c r="E32" s="3">
        <v>59159</v>
      </c>
      <c r="F32" s="3">
        <v>0</v>
      </c>
      <c r="G32" s="63">
        <v>91662</v>
      </c>
      <c r="H32" s="63">
        <v>33838</v>
      </c>
      <c r="I32" s="3">
        <v>0</v>
      </c>
      <c r="J32" s="3">
        <v>592</v>
      </c>
      <c r="K32" s="3">
        <v>328632</v>
      </c>
      <c r="L32" s="3">
        <v>0</v>
      </c>
      <c r="M32" s="3">
        <v>18096</v>
      </c>
      <c r="N32" s="3">
        <v>7558</v>
      </c>
      <c r="O32" s="3">
        <v>0</v>
      </c>
      <c r="P32" s="3">
        <v>2657</v>
      </c>
      <c r="Q32" s="3">
        <v>18314</v>
      </c>
      <c r="R32" s="218">
        <f t="shared" si="5"/>
        <v>608533</v>
      </c>
      <c r="S32" s="5" t="b">
        <f t="shared" si="11"/>
        <v>1</v>
      </c>
      <c r="T32" s="5"/>
      <c r="U32" s="5"/>
      <c r="V32" s="179">
        <f t="shared" si="13"/>
        <v>97</v>
      </c>
      <c r="W32" s="179">
        <f t="shared" si="13"/>
        <v>48</v>
      </c>
      <c r="X32" s="179">
        <f t="shared" si="13"/>
        <v>222</v>
      </c>
      <c r="Y32" s="179">
        <f t="shared" si="13"/>
        <v>0</v>
      </c>
      <c r="Z32" s="179">
        <f t="shared" si="13"/>
        <v>1661</v>
      </c>
      <c r="AA32" s="179">
        <f t="shared" si="13"/>
        <v>686</v>
      </c>
      <c r="AB32" s="179">
        <f t="shared" si="13"/>
        <v>0</v>
      </c>
      <c r="AC32" s="179">
        <f t="shared" si="13"/>
        <v>2</v>
      </c>
      <c r="AD32" s="179">
        <f t="shared" si="13"/>
        <v>2959</v>
      </c>
      <c r="AE32" s="179">
        <f t="shared" si="13"/>
        <v>0</v>
      </c>
      <c r="AF32" s="179">
        <f t="shared" si="13"/>
        <v>-23</v>
      </c>
      <c r="AG32" s="179">
        <f t="shared" si="13"/>
        <v>-70</v>
      </c>
      <c r="AH32" s="179">
        <f t="shared" si="14"/>
        <v>-117</v>
      </c>
      <c r="AI32" s="179">
        <f t="shared" si="14"/>
        <v>158</v>
      </c>
      <c r="AJ32" s="179">
        <f t="shared" si="14"/>
        <v>5623</v>
      </c>
      <c r="AK32" s="182">
        <f>R32+'[3]CBHP Caseload'!S32</f>
        <v>677299</v>
      </c>
      <c r="AL32" s="183">
        <f t="shared" si="9"/>
        <v>551801</v>
      </c>
      <c r="AM32" s="181">
        <v>608533</v>
      </c>
      <c r="AN32" s="178" t="b">
        <f t="shared" si="3"/>
        <v>1</v>
      </c>
    </row>
    <row r="33" spans="1:40" s="180" customFormat="1" hidden="1" x14ac:dyDescent="0.2">
      <c r="B33" s="217">
        <v>40848</v>
      </c>
      <c r="C33" s="3">
        <v>39789</v>
      </c>
      <c r="D33" s="3">
        <v>8343</v>
      </c>
      <c r="E33" s="3">
        <v>59298</v>
      </c>
      <c r="F33" s="3">
        <v>0</v>
      </c>
      <c r="G33" s="63">
        <v>92441</v>
      </c>
      <c r="H33" s="63">
        <v>34915</v>
      </c>
      <c r="I33" s="3">
        <v>0</v>
      </c>
      <c r="J33" s="3">
        <v>602</v>
      </c>
      <c r="K33" s="3">
        <v>332183</v>
      </c>
      <c r="L33" s="3">
        <v>0</v>
      </c>
      <c r="M33" s="3">
        <v>18077</v>
      </c>
      <c r="N33" s="3">
        <v>7371</v>
      </c>
      <c r="O33" s="3">
        <v>0</v>
      </c>
      <c r="P33" s="3">
        <v>2543</v>
      </c>
      <c r="Q33" s="3">
        <v>18584</v>
      </c>
      <c r="R33" s="218">
        <f t="shared" si="5"/>
        <v>614146</v>
      </c>
      <c r="S33" s="5" t="b">
        <f t="shared" si="11"/>
        <v>1</v>
      </c>
      <c r="T33" s="5"/>
      <c r="U33" s="5"/>
      <c r="V33" s="179">
        <f t="shared" si="13"/>
        <v>92</v>
      </c>
      <c r="W33" s="179">
        <f t="shared" si="13"/>
        <v>15</v>
      </c>
      <c r="X33" s="179">
        <f t="shared" si="13"/>
        <v>139</v>
      </c>
      <c r="Y33" s="179">
        <f t="shared" si="13"/>
        <v>0</v>
      </c>
      <c r="Z33" s="179">
        <f t="shared" si="13"/>
        <v>779</v>
      </c>
      <c r="AA33" s="179">
        <f t="shared" si="13"/>
        <v>1077</v>
      </c>
      <c r="AB33" s="179">
        <f t="shared" si="13"/>
        <v>0</v>
      </c>
      <c r="AC33" s="179">
        <f t="shared" si="13"/>
        <v>10</v>
      </c>
      <c r="AD33" s="179">
        <f t="shared" si="13"/>
        <v>3551</v>
      </c>
      <c r="AE33" s="179">
        <f t="shared" si="13"/>
        <v>0</v>
      </c>
      <c r="AF33" s="179">
        <f t="shared" si="13"/>
        <v>-19</v>
      </c>
      <c r="AG33" s="179">
        <f t="shared" si="13"/>
        <v>-187</v>
      </c>
      <c r="AH33" s="179">
        <f t="shared" si="14"/>
        <v>-114</v>
      </c>
      <c r="AI33" s="179">
        <f t="shared" si="14"/>
        <v>270</v>
      </c>
      <c r="AJ33" s="179">
        <f t="shared" si="14"/>
        <v>5613</v>
      </c>
      <c r="AK33" s="182">
        <f>R33+'[3]CBHP Caseload'!S33</f>
        <v>686134</v>
      </c>
      <c r="AL33" s="183">
        <f t="shared" si="9"/>
        <v>560120</v>
      </c>
      <c r="AM33" s="181">
        <v>614146</v>
      </c>
      <c r="AN33" s="178" t="b">
        <f t="shared" si="3"/>
        <v>1</v>
      </c>
    </row>
    <row r="34" spans="1:40" s="180" customFormat="1" hidden="1" x14ac:dyDescent="0.2">
      <c r="B34" s="217">
        <v>40878</v>
      </c>
      <c r="C34" s="3">
        <v>39843</v>
      </c>
      <c r="D34" s="3">
        <v>8355</v>
      </c>
      <c r="E34" s="3">
        <v>59384</v>
      </c>
      <c r="F34" s="3">
        <v>0</v>
      </c>
      <c r="G34" s="63">
        <v>94778</v>
      </c>
      <c r="H34" s="63">
        <v>34886</v>
      </c>
      <c r="I34" s="3">
        <v>0</v>
      </c>
      <c r="J34" s="3">
        <v>606</v>
      </c>
      <c r="K34" s="3">
        <v>336053</v>
      </c>
      <c r="L34" s="3">
        <v>0</v>
      </c>
      <c r="M34" s="3">
        <v>18172</v>
      </c>
      <c r="N34" s="3">
        <v>7333</v>
      </c>
      <c r="O34" s="3">
        <v>0</v>
      </c>
      <c r="P34" s="3">
        <v>2591</v>
      </c>
      <c r="Q34" s="3">
        <v>18798</v>
      </c>
      <c r="R34" s="218">
        <f t="shared" si="5"/>
        <v>620799</v>
      </c>
      <c r="S34" s="5" t="b">
        <f t="shared" si="11"/>
        <v>1</v>
      </c>
      <c r="T34" s="5"/>
      <c r="U34" s="5"/>
      <c r="V34" s="179">
        <f t="shared" si="13"/>
        <v>54</v>
      </c>
      <c r="W34" s="179">
        <f t="shared" si="13"/>
        <v>12</v>
      </c>
      <c r="X34" s="179">
        <f t="shared" si="13"/>
        <v>86</v>
      </c>
      <c r="Y34" s="179">
        <f t="shared" si="13"/>
        <v>0</v>
      </c>
      <c r="Z34" s="179">
        <f t="shared" si="13"/>
        <v>2337</v>
      </c>
      <c r="AA34" s="179">
        <f t="shared" si="13"/>
        <v>-29</v>
      </c>
      <c r="AB34" s="179">
        <f t="shared" si="13"/>
        <v>0</v>
      </c>
      <c r="AC34" s="179">
        <f t="shared" si="13"/>
        <v>4</v>
      </c>
      <c r="AD34" s="179">
        <f t="shared" si="13"/>
        <v>3870</v>
      </c>
      <c r="AE34" s="179">
        <f t="shared" si="13"/>
        <v>0</v>
      </c>
      <c r="AF34" s="179">
        <f t="shared" si="13"/>
        <v>95</v>
      </c>
      <c r="AG34" s="179">
        <f t="shared" si="13"/>
        <v>-38</v>
      </c>
      <c r="AH34" s="179">
        <f t="shared" si="14"/>
        <v>48</v>
      </c>
      <c r="AI34" s="179">
        <f t="shared" si="14"/>
        <v>214</v>
      </c>
      <c r="AJ34" s="179">
        <f t="shared" si="14"/>
        <v>6653</v>
      </c>
      <c r="AK34" s="182">
        <f>R34+'[3]CBHP Caseload'!S34</f>
        <v>694829</v>
      </c>
      <c r="AL34" s="183">
        <f t="shared" si="9"/>
        <v>568449</v>
      </c>
      <c r="AM34" s="181">
        <v>620799</v>
      </c>
      <c r="AN34" s="178" t="b">
        <f t="shared" si="3"/>
        <v>1</v>
      </c>
    </row>
    <row r="35" spans="1:40" s="180" customFormat="1" hidden="1" x14ac:dyDescent="0.2">
      <c r="B35" s="217">
        <v>40909</v>
      </c>
      <c r="C35" s="3">
        <v>39742</v>
      </c>
      <c r="D35" s="3">
        <v>8373</v>
      </c>
      <c r="E35" s="3">
        <v>59709</v>
      </c>
      <c r="F35" s="3">
        <v>0</v>
      </c>
      <c r="G35" s="63">
        <v>93523</v>
      </c>
      <c r="H35" s="63">
        <v>35481</v>
      </c>
      <c r="I35" s="3">
        <v>0</v>
      </c>
      <c r="J35" s="3">
        <v>603</v>
      </c>
      <c r="K35" s="3">
        <v>336096</v>
      </c>
      <c r="L35" s="3">
        <v>0</v>
      </c>
      <c r="M35" s="3">
        <v>17968</v>
      </c>
      <c r="N35" s="3">
        <v>7445</v>
      </c>
      <c r="O35" s="3">
        <v>0</v>
      </c>
      <c r="P35" s="3">
        <v>2617</v>
      </c>
      <c r="Q35" s="3">
        <v>18985</v>
      </c>
      <c r="R35" s="218">
        <f t="shared" si="5"/>
        <v>620542</v>
      </c>
      <c r="S35" s="5" t="b">
        <f t="shared" si="11"/>
        <v>1</v>
      </c>
      <c r="T35" s="5"/>
      <c r="U35" s="5"/>
      <c r="V35" s="179">
        <f t="shared" si="13"/>
        <v>-101</v>
      </c>
      <c r="W35" s="179">
        <f t="shared" si="13"/>
        <v>18</v>
      </c>
      <c r="X35" s="179">
        <f t="shared" si="13"/>
        <v>325</v>
      </c>
      <c r="Y35" s="179">
        <f t="shared" si="13"/>
        <v>0</v>
      </c>
      <c r="Z35" s="179">
        <f t="shared" si="13"/>
        <v>-1255</v>
      </c>
      <c r="AA35" s="179">
        <f t="shared" si="13"/>
        <v>595</v>
      </c>
      <c r="AB35" s="179">
        <f t="shared" si="13"/>
        <v>0</v>
      </c>
      <c r="AC35" s="179">
        <f t="shared" si="13"/>
        <v>-3</v>
      </c>
      <c r="AD35" s="179">
        <f t="shared" si="13"/>
        <v>43</v>
      </c>
      <c r="AE35" s="179">
        <f t="shared" si="13"/>
        <v>0</v>
      </c>
      <c r="AF35" s="179">
        <f t="shared" si="13"/>
        <v>-204</v>
      </c>
      <c r="AG35" s="179">
        <f t="shared" si="13"/>
        <v>112</v>
      </c>
      <c r="AH35" s="179">
        <f t="shared" si="14"/>
        <v>26</v>
      </c>
      <c r="AI35" s="179">
        <f t="shared" si="14"/>
        <v>187</v>
      </c>
      <c r="AJ35" s="179">
        <f t="shared" si="14"/>
        <v>-257</v>
      </c>
      <c r="AK35" s="182">
        <f>R35+'[3]CBHP Caseload'!S35</f>
        <v>699904</v>
      </c>
      <c r="AL35" s="183">
        <f t="shared" si="9"/>
        <v>573095</v>
      </c>
      <c r="AM35" s="181">
        <v>620542</v>
      </c>
      <c r="AN35" s="178" t="b">
        <f t="shared" si="3"/>
        <v>1</v>
      </c>
    </row>
    <row r="36" spans="1:40" s="180" customFormat="1" hidden="1" x14ac:dyDescent="0.2">
      <c r="B36" s="217">
        <v>40940</v>
      </c>
      <c r="C36" s="3">
        <v>39800</v>
      </c>
      <c r="D36" s="3">
        <v>8401</v>
      </c>
      <c r="E36" s="3">
        <v>59635</v>
      </c>
      <c r="F36" s="3">
        <v>0</v>
      </c>
      <c r="G36" s="63">
        <v>94868</v>
      </c>
      <c r="H36" s="63">
        <v>35962</v>
      </c>
      <c r="I36" s="3">
        <v>0</v>
      </c>
      <c r="J36" s="3">
        <v>604</v>
      </c>
      <c r="K36" s="3">
        <v>339523</v>
      </c>
      <c r="L36" s="3">
        <v>0</v>
      </c>
      <c r="M36" s="3">
        <v>17863</v>
      </c>
      <c r="N36" s="3">
        <v>7594</v>
      </c>
      <c r="O36" s="3">
        <v>0</v>
      </c>
      <c r="P36" s="3">
        <v>2636</v>
      </c>
      <c r="Q36" s="3">
        <v>19220</v>
      </c>
      <c r="R36" s="218">
        <f t="shared" si="5"/>
        <v>626106</v>
      </c>
      <c r="S36" s="5" t="b">
        <f t="shared" si="11"/>
        <v>1</v>
      </c>
      <c r="T36" s="5"/>
      <c r="U36" s="5"/>
      <c r="V36" s="179">
        <f t="shared" si="13"/>
        <v>58</v>
      </c>
      <c r="W36" s="179">
        <f t="shared" si="13"/>
        <v>28</v>
      </c>
      <c r="X36" s="179">
        <f t="shared" si="13"/>
        <v>-74</v>
      </c>
      <c r="Y36" s="179">
        <f t="shared" si="13"/>
        <v>0</v>
      </c>
      <c r="Z36" s="179">
        <f t="shared" si="13"/>
        <v>1345</v>
      </c>
      <c r="AA36" s="179">
        <f t="shared" si="13"/>
        <v>481</v>
      </c>
      <c r="AB36" s="179">
        <f t="shared" si="13"/>
        <v>0</v>
      </c>
      <c r="AC36" s="179">
        <f t="shared" si="13"/>
        <v>1</v>
      </c>
      <c r="AD36" s="179">
        <f t="shared" si="13"/>
        <v>3427</v>
      </c>
      <c r="AE36" s="179">
        <f t="shared" si="13"/>
        <v>0</v>
      </c>
      <c r="AF36" s="179">
        <f t="shared" si="13"/>
        <v>-105</v>
      </c>
      <c r="AG36" s="179">
        <f t="shared" si="13"/>
        <v>149</v>
      </c>
      <c r="AH36" s="179">
        <f t="shared" si="14"/>
        <v>19</v>
      </c>
      <c r="AI36" s="179">
        <f t="shared" si="14"/>
        <v>235</v>
      </c>
      <c r="AJ36" s="179">
        <f t="shared" si="14"/>
        <v>5564</v>
      </c>
      <c r="AK36" s="182">
        <f>R36+'[3]CBHP Caseload'!S36</f>
        <v>707771</v>
      </c>
      <c r="AL36" s="183">
        <f t="shared" si="9"/>
        <v>580715</v>
      </c>
      <c r="AM36" s="181">
        <v>626106</v>
      </c>
      <c r="AN36" s="178" t="b">
        <f t="shared" si="3"/>
        <v>1</v>
      </c>
    </row>
    <row r="37" spans="1:40" s="180" customFormat="1" hidden="1" x14ac:dyDescent="0.2">
      <c r="B37" s="217">
        <v>40969</v>
      </c>
      <c r="C37" s="3">
        <v>39849</v>
      </c>
      <c r="D37" s="3">
        <v>8445</v>
      </c>
      <c r="E37" s="3">
        <v>59847</v>
      </c>
      <c r="F37" s="3">
        <v>51</v>
      </c>
      <c r="G37" s="63">
        <v>97318</v>
      </c>
      <c r="H37" s="63">
        <v>37141</v>
      </c>
      <c r="I37" s="3">
        <v>0</v>
      </c>
      <c r="J37" s="3">
        <v>604</v>
      </c>
      <c r="K37" s="3">
        <v>341274</v>
      </c>
      <c r="L37" s="3">
        <v>0</v>
      </c>
      <c r="M37" s="3">
        <v>17930</v>
      </c>
      <c r="N37" s="3">
        <v>7734</v>
      </c>
      <c r="O37" s="3">
        <v>0</v>
      </c>
      <c r="P37" s="3">
        <v>2852</v>
      </c>
      <c r="Q37" s="3">
        <v>19466</v>
      </c>
      <c r="R37" s="218">
        <f t="shared" si="5"/>
        <v>632511</v>
      </c>
      <c r="S37" s="5" t="b">
        <f t="shared" si="11"/>
        <v>1</v>
      </c>
      <c r="T37" s="5"/>
      <c r="U37" s="5"/>
      <c r="V37" s="179">
        <f t="shared" si="13"/>
        <v>49</v>
      </c>
      <c r="W37" s="179">
        <f t="shared" si="13"/>
        <v>44</v>
      </c>
      <c r="X37" s="179">
        <f t="shared" si="13"/>
        <v>212</v>
      </c>
      <c r="Y37" s="179">
        <f t="shared" si="13"/>
        <v>51</v>
      </c>
      <c r="Z37" s="179">
        <f t="shared" si="13"/>
        <v>2450</v>
      </c>
      <c r="AA37" s="179">
        <f t="shared" si="13"/>
        <v>1179</v>
      </c>
      <c r="AB37" s="179">
        <f t="shared" si="13"/>
        <v>0</v>
      </c>
      <c r="AC37" s="179">
        <f t="shared" si="13"/>
        <v>0</v>
      </c>
      <c r="AD37" s="179">
        <f t="shared" si="13"/>
        <v>1751</v>
      </c>
      <c r="AE37" s="179">
        <f t="shared" si="13"/>
        <v>0</v>
      </c>
      <c r="AF37" s="179">
        <f t="shared" si="13"/>
        <v>67</v>
      </c>
      <c r="AG37" s="179">
        <f t="shared" si="13"/>
        <v>140</v>
      </c>
      <c r="AH37" s="179">
        <f t="shared" si="14"/>
        <v>216</v>
      </c>
      <c r="AI37" s="179">
        <f t="shared" si="14"/>
        <v>246</v>
      </c>
      <c r="AJ37" s="179">
        <f t="shared" si="14"/>
        <v>6405</v>
      </c>
      <c r="AK37" s="182">
        <f>R37+'[3]CBHP Caseload'!S37</f>
        <v>716599</v>
      </c>
      <c r="AL37" s="183">
        <f t="shared" si="9"/>
        <v>588992</v>
      </c>
      <c r="AM37" s="181">
        <v>632511</v>
      </c>
      <c r="AN37" s="178" t="b">
        <f t="shared" si="3"/>
        <v>1</v>
      </c>
    </row>
    <row r="38" spans="1:40" s="180" customFormat="1" hidden="1" x14ac:dyDescent="0.2">
      <c r="B38" s="217">
        <v>41000</v>
      </c>
      <c r="C38" s="3">
        <v>39837</v>
      </c>
      <c r="D38" s="3">
        <v>8507</v>
      </c>
      <c r="E38" s="3">
        <v>59970</v>
      </c>
      <c r="F38" s="3">
        <v>133</v>
      </c>
      <c r="G38" s="63">
        <v>94317</v>
      </c>
      <c r="H38" s="63">
        <v>37902</v>
      </c>
      <c r="I38" s="3">
        <v>0</v>
      </c>
      <c r="J38" s="3">
        <v>596</v>
      </c>
      <c r="K38" s="3">
        <v>341546</v>
      </c>
      <c r="L38" s="3">
        <v>0</v>
      </c>
      <c r="M38" s="3">
        <v>17944</v>
      </c>
      <c r="N38" s="3">
        <v>7705</v>
      </c>
      <c r="O38" s="3">
        <v>0</v>
      </c>
      <c r="P38" s="3">
        <v>2846</v>
      </c>
      <c r="Q38" s="3">
        <v>19396</v>
      </c>
      <c r="R38" s="218">
        <f t="shared" si="5"/>
        <v>630699</v>
      </c>
      <c r="S38" s="5" t="b">
        <f t="shared" si="11"/>
        <v>1</v>
      </c>
      <c r="T38" s="5"/>
      <c r="U38" s="5"/>
      <c r="V38" s="179">
        <f t="shared" si="13"/>
        <v>-12</v>
      </c>
      <c r="W38" s="179">
        <f t="shared" si="13"/>
        <v>62</v>
      </c>
      <c r="X38" s="179">
        <f t="shared" si="13"/>
        <v>123</v>
      </c>
      <c r="Y38" s="179">
        <f t="shared" si="13"/>
        <v>82</v>
      </c>
      <c r="Z38" s="179">
        <f t="shared" si="13"/>
        <v>-3001</v>
      </c>
      <c r="AA38" s="179">
        <f t="shared" si="13"/>
        <v>761</v>
      </c>
      <c r="AB38" s="179">
        <f t="shared" si="13"/>
        <v>0</v>
      </c>
      <c r="AC38" s="179">
        <f t="shared" si="13"/>
        <v>-8</v>
      </c>
      <c r="AD38" s="179">
        <f t="shared" si="13"/>
        <v>272</v>
      </c>
      <c r="AE38" s="179">
        <f t="shared" si="13"/>
        <v>0</v>
      </c>
      <c r="AF38" s="179">
        <f t="shared" si="13"/>
        <v>14</v>
      </c>
      <c r="AG38" s="179">
        <f t="shared" si="13"/>
        <v>-29</v>
      </c>
      <c r="AH38" s="179">
        <f t="shared" si="14"/>
        <v>-6</v>
      </c>
      <c r="AI38" s="179">
        <f t="shared" si="14"/>
        <v>-70</v>
      </c>
      <c r="AJ38" s="179">
        <f t="shared" si="14"/>
        <v>-1812</v>
      </c>
      <c r="AK38" s="182">
        <f>R38+'[3]CBHP Caseload'!S38</f>
        <v>716981</v>
      </c>
      <c r="AL38" s="183">
        <f t="shared" si="9"/>
        <v>589271</v>
      </c>
      <c r="AM38" s="181">
        <v>630699</v>
      </c>
      <c r="AN38" s="178" t="b">
        <f t="shared" si="3"/>
        <v>1</v>
      </c>
    </row>
    <row r="39" spans="1:40" s="180" customFormat="1" hidden="1" x14ac:dyDescent="0.2">
      <c r="B39" s="217">
        <v>41030</v>
      </c>
      <c r="C39" s="3">
        <v>39924</v>
      </c>
      <c r="D39" s="3">
        <v>8600</v>
      </c>
      <c r="E39" s="3">
        <v>60167</v>
      </c>
      <c r="F39" s="3">
        <v>202</v>
      </c>
      <c r="G39" s="63">
        <v>95581</v>
      </c>
      <c r="H39" s="63">
        <v>38955</v>
      </c>
      <c r="I39" s="3">
        <v>5860</v>
      </c>
      <c r="J39" s="3">
        <v>597</v>
      </c>
      <c r="K39" s="3">
        <v>344523</v>
      </c>
      <c r="L39" s="3">
        <v>0</v>
      </c>
      <c r="M39" s="3">
        <v>18012</v>
      </c>
      <c r="N39" s="3">
        <v>7744</v>
      </c>
      <c r="O39" s="3">
        <v>0</v>
      </c>
      <c r="P39" s="3">
        <v>2844</v>
      </c>
      <c r="Q39" s="3">
        <v>19640</v>
      </c>
      <c r="R39" s="218">
        <f t="shared" si="5"/>
        <v>642649</v>
      </c>
      <c r="S39" s="5" t="b">
        <f t="shared" si="11"/>
        <v>1</v>
      </c>
      <c r="T39" s="5"/>
      <c r="U39" s="5"/>
      <c r="V39" s="179">
        <f t="shared" si="13"/>
        <v>87</v>
      </c>
      <c r="W39" s="179">
        <f t="shared" si="13"/>
        <v>93</v>
      </c>
      <c r="X39" s="179">
        <f t="shared" si="13"/>
        <v>197</v>
      </c>
      <c r="Y39" s="179">
        <f t="shared" si="13"/>
        <v>69</v>
      </c>
      <c r="Z39" s="179">
        <f t="shared" si="13"/>
        <v>1264</v>
      </c>
      <c r="AA39" s="179">
        <f t="shared" si="13"/>
        <v>1053</v>
      </c>
      <c r="AB39" s="179">
        <f t="shared" si="13"/>
        <v>5860</v>
      </c>
      <c r="AC39" s="179">
        <f t="shared" si="13"/>
        <v>1</v>
      </c>
      <c r="AD39" s="179">
        <f t="shared" si="13"/>
        <v>2977</v>
      </c>
      <c r="AE39" s="179">
        <f t="shared" si="13"/>
        <v>0</v>
      </c>
      <c r="AF39" s="179">
        <f t="shared" si="13"/>
        <v>68</v>
      </c>
      <c r="AG39" s="179">
        <f t="shared" si="13"/>
        <v>39</v>
      </c>
      <c r="AH39" s="179">
        <f t="shared" si="14"/>
        <v>-2</v>
      </c>
      <c r="AI39" s="179">
        <f t="shared" si="14"/>
        <v>244</v>
      </c>
      <c r="AJ39" s="179">
        <f t="shared" si="14"/>
        <v>11950</v>
      </c>
      <c r="AK39" s="182">
        <f>R39+'[3]CBHP Caseload'!S39</f>
        <v>729170</v>
      </c>
      <c r="AL39" s="183">
        <f t="shared" si="9"/>
        <v>600839</v>
      </c>
      <c r="AM39" s="181">
        <v>642649</v>
      </c>
      <c r="AN39" s="178" t="b">
        <f t="shared" si="3"/>
        <v>1</v>
      </c>
    </row>
    <row r="40" spans="1:40" s="180" customFormat="1" hidden="1" x14ac:dyDescent="0.2">
      <c r="B40" s="217">
        <v>41061</v>
      </c>
      <c r="C40" s="3">
        <v>39923</v>
      </c>
      <c r="D40" s="3">
        <v>8605</v>
      </c>
      <c r="E40" s="3">
        <v>60091</v>
      </c>
      <c r="F40" s="3">
        <v>240</v>
      </c>
      <c r="G40" s="63">
        <v>98120</v>
      </c>
      <c r="H40" s="63">
        <v>38921</v>
      </c>
      <c r="I40" s="3">
        <v>7753</v>
      </c>
      <c r="J40" s="3">
        <v>601</v>
      </c>
      <c r="K40" s="3">
        <v>348253</v>
      </c>
      <c r="L40" s="3">
        <v>0</v>
      </c>
      <c r="M40" s="3">
        <v>18022</v>
      </c>
      <c r="N40" s="3">
        <v>7846</v>
      </c>
      <c r="O40" s="3">
        <v>0</v>
      </c>
      <c r="P40" s="3">
        <v>2818</v>
      </c>
      <c r="Q40" s="3">
        <v>19929</v>
      </c>
      <c r="R40" s="218">
        <f t="shared" si="5"/>
        <v>651122</v>
      </c>
      <c r="S40" s="5" t="b">
        <f t="shared" si="11"/>
        <v>1</v>
      </c>
      <c r="T40" s="5"/>
      <c r="U40" s="5"/>
      <c r="V40" s="179">
        <f t="shared" si="13"/>
        <v>-1</v>
      </c>
      <c r="W40" s="179">
        <f t="shared" si="13"/>
        <v>5</v>
      </c>
      <c r="X40" s="179">
        <f t="shared" si="13"/>
        <v>-76</v>
      </c>
      <c r="Y40" s="179">
        <f t="shared" si="13"/>
        <v>38</v>
      </c>
      <c r="Z40" s="179">
        <f t="shared" si="13"/>
        <v>2539</v>
      </c>
      <c r="AA40" s="179">
        <f t="shared" si="13"/>
        <v>-34</v>
      </c>
      <c r="AB40" s="179">
        <f t="shared" si="13"/>
        <v>1893</v>
      </c>
      <c r="AC40" s="179">
        <f t="shared" si="13"/>
        <v>4</v>
      </c>
      <c r="AD40" s="179">
        <f t="shared" si="13"/>
        <v>3730</v>
      </c>
      <c r="AE40" s="179">
        <f t="shared" si="13"/>
        <v>0</v>
      </c>
      <c r="AF40" s="179">
        <f t="shared" si="13"/>
        <v>10</v>
      </c>
      <c r="AG40" s="179">
        <f t="shared" si="13"/>
        <v>102</v>
      </c>
      <c r="AH40" s="179">
        <f t="shared" si="14"/>
        <v>-26</v>
      </c>
      <c r="AI40" s="179">
        <f t="shared" si="14"/>
        <v>289</v>
      </c>
      <c r="AJ40" s="179">
        <f>R40-R39</f>
        <v>8473</v>
      </c>
      <c r="AK40" s="182">
        <f>R40+'[3]CBHP Caseload'!S40</f>
        <v>736157</v>
      </c>
      <c r="AL40" s="183">
        <f t="shared" si="9"/>
        <v>607609</v>
      </c>
      <c r="AM40" s="181">
        <v>651122</v>
      </c>
      <c r="AN40" s="178" t="b">
        <f t="shared" si="3"/>
        <v>1</v>
      </c>
    </row>
    <row r="41" spans="1:40" s="185" customFormat="1" hidden="1" x14ac:dyDescent="0.2">
      <c r="B41" s="221" t="s">
        <v>115</v>
      </c>
      <c r="C41" s="7">
        <f>ROUND(AVERAGE(C29:C40),0)</f>
        <v>39740</v>
      </c>
      <c r="D41" s="7">
        <f t="shared" ref="D41:Q41" si="15">ROUND(AVERAGE(D29:D40),0)</f>
        <v>8383</v>
      </c>
      <c r="E41" s="7">
        <f t="shared" si="15"/>
        <v>59434</v>
      </c>
      <c r="F41" s="7">
        <f t="shared" si="15"/>
        <v>52</v>
      </c>
      <c r="G41" s="7">
        <f t="shared" si="15"/>
        <v>93224</v>
      </c>
      <c r="H41" s="7">
        <f t="shared" si="15"/>
        <v>35461</v>
      </c>
      <c r="I41" s="7">
        <f>ROUND(AVERAGE(I29:I40),0)</f>
        <v>1134</v>
      </c>
      <c r="J41" s="7">
        <f>ROUND(AVERAGE(J29:J40),0)</f>
        <v>597</v>
      </c>
      <c r="K41" s="7">
        <f>ROUND(AVERAGE(K29:K40),0)</f>
        <v>334633</v>
      </c>
      <c r="L41" s="7">
        <f t="shared" si="15"/>
        <v>0</v>
      </c>
      <c r="M41" s="7">
        <f t="shared" si="15"/>
        <v>18034</v>
      </c>
      <c r="N41" s="7">
        <f t="shared" si="15"/>
        <v>7630</v>
      </c>
      <c r="O41" s="7">
        <f t="shared" si="15"/>
        <v>0</v>
      </c>
      <c r="P41" s="7">
        <f t="shared" si="15"/>
        <v>2770</v>
      </c>
      <c r="Q41" s="7">
        <f t="shared" si="15"/>
        <v>18871</v>
      </c>
      <c r="R41" s="222">
        <f t="shared" ref="R41:R67" si="16">SUM(C41:Q41)</f>
        <v>619963</v>
      </c>
      <c r="S41" s="5" t="b">
        <f t="shared" si="11"/>
        <v>1</v>
      </c>
      <c r="T41" s="5"/>
      <c r="U41" s="5"/>
      <c r="V41" s="184"/>
      <c r="W41" s="184"/>
      <c r="X41" s="184"/>
      <c r="Y41" s="184"/>
      <c r="Z41" s="184"/>
      <c r="AA41" s="184"/>
      <c r="AB41" s="184"/>
      <c r="AC41" s="184"/>
      <c r="AD41" s="184"/>
      <c r="AE41" s="184"/>
      <c r="AF41" s="184"/>
      <c r="AG41" s="184"/>
      <c r="AH41" s="184"/>
      <c r="AI41" s="184"/>
      <c r="AJ41" s="184">
        <f>AVERAGE(AJ29:AJ40)</f>
        <v>5183.083333333333</v>
      </c>
      <c r="AM41" s="186">
        <v>619963</v>
      </c>
      <c r="AN41" s="178" t="b">
        <f t="shared" si="3"/>
        <v>1</v>
      </c>
    </row>
    <row r="42" spans="1:40" s="180" customFormat="1" hidden="1" x14ac:dyDescent="0.2">
      <c r="A42" s="358">
        <f>IF(C42="",0,1)</f>
        <v>1</v>
      </c>
      <c r="B42" s="217">
        <v>41091</v>
      </c>
      <c r="C42" s="3">
        <v>40117</v>
      </c>
      <c r="D42" s="3">
        <v>8689</v>
      </c>
      <c r="E42" s="3">
        <v>60389</v>
      </c>
      <c r="F42" s="3">
        <v>338</v>
      </c>
      <c r="G42" s="63">
        <v>93088</v>
      </c>
      <c r="H42" s="63">
        <v>38961</v>
      </c>
      <c r="I42" s="3">
        <v>9652</v>
      </c>
      <c r="J42" s="3">
        <v>607</v>
      </c>
      <c r="K42" s="3">
        <v>348510</v>
      </c>
      <c r="L42" s="3">
        <v>0</v>
      </c>
      <c r="M42" s="3">
        <v>17959</v>
      </c>
      <c r="N42" s="3">
        <v>7824</v>
      </c>
      <c r="O42" s="3">
        <v>0</v>
      </c>
      <c r="P42" s="3">
        <v>2764</v>
      </c>
      <c r="Q42" s="3">
        <v>20117</v>
      </c>
      <c r="R42" s="218">
        <f t="shared" si="16"/>
        <v>649015</v>
      </c>
      <c r="S42" s="5" t="b">
        <f t="shared" si="11"/>
        <v>1</v>
      </c>
      <c r="T42" s="5"/>
      <c r="U42" s="5"/>
      <c r="V42" s="179">
        <f t="shared" ref="V42:AG42" si="17">C42-C40</f>
        <v>194</v>
      </c>
      <c r="W42" s="179">
        <f t="shared" si="17"/>
        <v>84</v>
      </c>
      <c r="X42" s="179">
        <f t="shared" si="17"/>
        <v>298</v>
      </c>
      <c r="Y42" s="179">
        <f t="shared" si="17"/>
        <v>98</v>
      </c>
      <c r="Z42" s="179">
        <f t="shared" si="17"/>
        <v>-5032</v>
      </c>
      <c r="AA42" s="179">
        <f t="shared" si="17"/>
        <v>40</v>
      </c>
      <c r="AB42" s="179">
        <f t="shared" si="17"/>
        <v>1899</v>
      </c>
      <c r="AC42" s="179">
        <f t="shared" si="17"/>
        <v>6</v>
      </c>
      <c r="AD42" s="179">
        <f t="shared" si="17"/>
        <v>257</v>
      </c>
      <c r="AE42" s="179">
        <f t="shared" si="17"/>
        <v>0</v>
      </c>
      <c r="AF42" s="179">
        <f t="shared" si="17"/>
        <v>-63</v>
      </c>
      <c r="AG42" s="179">
        <f t="shared" si="17"/>
        <v>-22</v>
      </c>
      <c r="AH42" s="179">
        <f>P42-P40</f>
        <v>-54</v>
      </c>
      <c r="AI42" s="179">
        <f>Q42-Q40</f>
        <v>188</v>
      </c>
      <c r="AJ42" s="179">
        <f>R42-R40</f>
        <v>-2107</v>
      </c>
      <c r="AK42" s="182">
        <f>R42+'[3]CBHP Caseload'!S42</f>
        <v>734869</v>
      </c>
      <c r="AL42" s="183">
        <f t="shared" si="9"/>
        <v>605557</v>
      </c>
      <c r="AM42" s="181">
        <v>649015</v>
      </c>
      <c r="AN42" s="178" t="b">
        <f t="shared" si="3"/>
        <v>1</v>
      </c>
    </row>
    <row r="43" spans="1:40" s="180" customFormat="1" hidden="1" x14ac:dyDescent="0.2">
      <c r="A43" s="358">
        <f t="shared" ref="A43:A106" si="18">IF(C43="",0,1)</f>
        <v>1</v>
      </c>
      <c r="B43" s="217">
        <v>41122</v>
      </c>
      <c r="C43" s="3">
        <v>40460</v>
      </c>
      <c r="D43" s="3">
        <v>8771</v>
      </c>
      <c r="E43" s="3">
        <v>60680</v>
      </c>
      <c r="F43" s="3">
        <v>445</v>
      </c>
      <c r="G43" s="63">
        <v>94777</v>
      </c>
      <c r="H43" s="63">
        <v>39881</v>
      </c>
      <c r="I43" s="3">
        <v>9675</v>
      </c>
      <c r="J43" s="3">
        <v>612</v>
      </c>
      <c r="K43" s="3">
        <v>351537</v>
      </c>
      <c r="L43" s="3">
        <v>0</v>
      </c>
      <c r="M43" s="3">
        <v>17932</v>
      </c>
      <c r="N43" s="3">
        <v>7864</v>
      </c>
      <c r="O43" s="3">
        <v>0</v>
      </c>
      <c r="P43" s="3">
        <v>2744</v>
      </c>
      <c r="Q43" s="3">
        <v>20418</v>
      </c>
      <c r="R43" s="218">
        <f t="shared" si="16"/>
        <v>655796</v>
      </c>
      <c r="S43" s="5" t="b">
        <f t="shared" si="11"/>
        <v>1</v>
      </c>
      <c r="T43" s="5"/>
      <c r="U43" s="5"/>
      <c r="V43" s="179">
        <f t="shared" ref="V43:AG53" si="19">C43-C42</f>
        <v>343</v>
      </c>
      <c r="W43" s="179">
        <f t="shared" si="19"/>
        <v>82</v>
      </c>
      <c r="X43" s="179">
        <f t="shared" si="19"/>
        <v>291</v>
      </c>
      <c r="Y43" s="179">
        <f t="shared" si="19"/>
        <v>107</v>
      </c>
      <c r="Z43" s="179">
        <f t="shared" si="19"/>
        <v>1689</v>
      </c>
      <c r="AA43" s="179">
        <f t="shared" si="19"/>
        <v>920</v>
      </c>
      <c r="AB43" s="179">
        <f t="shared" si="19"/>
        <v>23</v>
      </c>
      <c r="AC43" s="179">
        <f t="shared" si="19"/>
        <v>5</v>
      </c>
      <c r="AD43" s="179">
        <f t="shared" si="19"/>
        <v>3027</v>
      </c>
      <c r="AE43" s="179">
        <f t="shared" si="19"/>
        <v>0</v>
      </c>
      <c r="AF43" s="179">
        <f t="shared" si="19"/>
        <v>-27</v>
      </c>
      <c r="AG43" s="179">
        <f t="shared" si="19"/>
        <v>40</v>
      </c>
      <c r="AH43" s="179">
        <f t="shared" ref="AH43:AJ53" si="20">P43-P42</f>
        <v>-20</v>
      </c>
      <c r="AI43" s="179">
        <f t="shared" si="20"/>
        <v>301</v>
      </c>
      <c r="AJ43" s="179">
        <f t="shared" si="20"/>
        <v>6781</v>
      </c>
      <c r="AK43" s="182">
        <f>R43+'[3]CBHP Caseload'!S43</f>
        <v>741365</v>
      </c>
      <c r="AL43" s="183">
        <f t="shared" si="9"/>
        <v>611036</v>
      </c>
      <c r="AM43" s="181">
        <v>655796</v>
      </c>
      <c r="AN43" s="178" t="b">
        <f t="shared" si="3"/>
        <v>1</v>
      </c>
    </row>
    <row r="44" spans="1:40" s="180" customFormat="1" hidden="1" x14ac:dyDescent="0.2">
      <c r="A44" s="358">
        <f t="shared" si="18"/>
        <v>1</v>
      </c>
      <c r="B44" s="217">
        <v>41153</v>
      </c>
      <c r="C44" s="3">
        <v>40468</v>
      </c>
      <c r="D44" s="3">
        <v>8877</v>
      </c>
      <c r="E44" s="3">
        <v>60934</v>
      </c>
      <c r="F44" s="3">
        <v>539</v>
      </c>
      <c r="G44" s="63">
        <v>95151</v>
      </c>
      <c r="H44" s="63">
        <v>39689</v>
      </c>
      <c r="I44" s="3">
        <v>9880</v>
      </c>
      <c r="J44" s="3">
        <v>610</v>
      </c>
      <c r="K44" s="3">
        <v>355312</v>
      </c>
      <c r="L44" s="3">
        <v>0</v>
      </c>
      <c r="M44" s="3">
        <v>18004</v>
      </c>
      <c r="N44" s="3">
        <v>7677</v>
      </c>
      <c r="O44" s="3">
        <v>0</v>
      </c>
      <c r="P44" s="3">
        <v>2609</v>
      </c>
      <c r="Q44" s="3">
        <v>20615</v>
      </c>
      <c r="R44" s="218">
        <f t="shared" si="16"/>
        <v>660365</v>
      </c>
      <c r="S44" s="5" t="b">
        <f t="shared" si="11"/>
        <v>1</v>
      </c>
      <c r="T44" s="5"/>
      <c r="U44" s="5"/>
      <c r="V44" s="179">
        <f t="shared" si="19"/>
        <v>8</v>
      </c>
      <c r="W44" s="179">
        <f t="shared" si="19"/>
        <v>106</v>
      </c>
      <c r="X44" s="179">
        <f t="shared" si="19"/>
        <v>254</v>
      </c>
      <c r="Y44" s="179">
        <f t="shared" si="19"/>
        <v>94</v>
      </c>
      <c r="Z44" s="179">
        <f t="shared" si="19"/>
        <v>374</v>
      </c>
      <c r="AA44" s="179">
        <f t="shared" si="19"/>
        <v>-192</v>
      </c>
      <c r="AB44" s="179">
        <f t="shared" si="19"/>
        <v>205</v>
      </c>
      <c r="AC44" s="179">
        <f t="shared" si="19"/>
        <v>-2</v>
      </c>
      <c r="AD44" s="179">
        <f t="shared" si="19"/>
        <v>3775</v>
      </c>
      <c r="AE44" s="179">
        <f t="shared" si="19"/>
        <v>0</v>
      </c>
      <c r="AF44" s="179">
        <f t="shared" si="19"/>
        <v>72</v>
      </c>
      <c r="AG44" s="179">
        <f t="shared" si="19"/>
        <v>-187</v>
      </c>
      <c r="AH44" s="179">
        <f t="shared" si="20"/>
        <v>-135</v>
      </c>
      <c r="AI44" s="179">
        <f t="shared" si="20"/>
        <v>197</v>
      </c>
      <c r="AJ44" s="179">
        <f>R44-R43</f>
        <v>4569</v>
      </c>
      <c r="AK44" s="182">
        <f>R44+'[3]CBHP Caseload'!S44</f>
        <v>744885</v>
      </c>
      <c r="AL44" s="183">
        <f t="shared" si="9"/>
        <v>613991</v>
      </c>
      <c r="AM44" s="181">
        <v>660365</v>
      </c>
      <c r="AN44" s="178" t="b">
        <f t="shared" si="3"/>
        <v>1</v>
      </c>
    </row>
    <row r="45" spans="1:40" s="180" customFormat="1" hidden="1" x14ac:dyDescent="0.2">
      <c r="A45" s="358">
        <f t="shared" si="18"/>
        <v>1</v>
      </c>
      <c r="B45" s="217">
        <v>41183</v>
      </c>
      <c r="C45" s="3">
        <v>40773</v>
      </c>
      <c r="D45" s="3">
        <v>8949</v>
      </c>
      <c r="E45" s="3">
        <v>61303</v>
      </c>
      <c r="F45" s="3">
        <v>640</v>
      </c>
      <c r="G45" s="63">
        <v>96113</v>
      </c>
      <c r="H45" s="63">
        <v>40302</v>
      </c>
      <c r="I45" s="3">
        <v>9969</v>
      </c>
      <c r="J45" s="3">
        <v>615</v>
      </c>
      <c r="K45" s="3">
        <v>353524</v>
      </c>
      <c r="L45" s="3">
        <v>0</v>
      </c>
      <c r="M45" s="3">
        <v>18000</v>
      </c>
      <c r="N45" s="3">
        <v>7691</v>
      </c>
      <c r="O45" s="3">
        <v>0</v>
      </c>
      <c r="P45" s="3">
        <v>2569</v>
      </c>
      <c r="Q45" s="3">
        <v>20766</v>
      </c>
      <c r="R45" s="218">
        <f t="shared" si="16"/>
        <v>661214</v>
      </c>
      <c r="S45" s="5" t="b">
        <f t="shared" si="11"/>
        <v>1</v>
      </c>
      <c r="T45" s="5"/>
      <c r="U45" s="5"/>
      <c r="V45" s="179">
        <f t="shared" si="19"/>
        <v>305</v>
      </c>
      <c r="W45" s="179">
        <f t="shared" si="19"/>
        <v>72</v>
      </c>
      <c r="X45" s="179">
        <f t="shared" si="19"/>
        <v>369</v>
      </c>
      <c r="Y45" s="179">
        <f t="shared" si="19"/>
        <v>101</v>
      </c>
      <c r="Z45" s="179">
        <f t="shared" si="19"/>
        <v>962</v>
      </c>
      <c r="AA45" s="179">
        <f t="shared" si="19"/>
        <v>613</v>
      </c>
      <c r="AB45" s="179">
        <f t="shared" si="19"/>
        <v>89</v>
      </c>
      <c r="AC45" s="179">
        <f t="shared" si="19"/>
        <v>5</v>
      </c>
      <c r="AD45" s="179">
        <f t="shared" si="19"/>
        <v>-1788</v>
      </c>
      <c r="AE45" s="179">
        <f t="shared" si="19"/>
        <v>0</v>
      </c>
      <c r="AF45" s="179">
        <f t="shared" si="19"/>
        <v>-4</v>
      </c>
      <c r="AG45" s="179">
        <f t="shared" si="19"/>
        <v>14</v>
      </c>
      <c r="AH45" s="179">
        <f t="shared" si="20"/>
        <v>-40</v>
      </c>
      <c r="AI45" s="179">
        <f t="shared" si="20"/>
        <v>151</v>
      </c>
      <c r="AJ45" s="179">
        <f>R45-R44</f>
        <v>849</v>
      </c>
      <c r="AK45" s="182">
        <f>R45+'[3]CBHP Caseload'!S45</f>
        <v>746271</v>
      </c>
      <c r="AL45" s="183">
        <f t="shared" si="9"/>
        <v>614480</v>
      </c>
      <c r="AM45" s="181">
        <v>661214</v>
      </c>
      <c r="AN45" s="178" t="b">
        <f t="shared" si="3"/>
        <v>1</v>
      </c>
    </row>
    <row r="46" spans="1:40" s="180" customFormat="1" hidden="1" x14ac:dyDescent="0.2">
      <c r="A46" s="358">
        <f t="shared" si="18"/>
        <v>1</v>
      </c>
      <c r="B46" s="217">
        <v>41214</v>
      </c>
      <c r="C46" s="3">
        <v>41059</v>
      </c>
      <c r="D46" s="3">
        <v>8997</v>
      </c>
      <c r="E46" s="3">
        <v>61571</v>
      </c>
      <c r="F46" s="3">
        <v>753</v>
      </c>
      <c r="G46" s="63">
        <v>98333</v>
      </c>
      <c r="H46" s="63">
        <v>41895</v>
      </c>
      <c r="I46" s="3">
        <v>9972</v>
      </c>
      <c r="J46" s="3">
        <v>615</v>
      </c>
      <c r="K46" s="3">
        <v>356897</v>
      </c>
      <c r="L46" s="3">
        <v>0</v>
      </c>
      <c r="M46" s="3">
        <v>17967</v>
      </c>
      <c r="N46" s="3">
        <v>7600</v>
      </c>
      <c r="O46" s="3">
        <v>0</v>
      </c>
      <c r="P46" s="3">
        <v>2546</v>
      </c>
      <c r="Q46" s="3">
        <v>20998</v>
      </c>
      <c r="R46" s="218">
        <f t="shared" si="16"/>
        <v>669203</v>
      </c>
      <c r="S46" s="5" t="b">
        <f t="shared" si="11"/>
        <v>1</v>
      </c>
      <c r="T46" s="5"/>
      <c r="U46" s="5"/>
      <c r="V46" s="179">
        <f t="shared" si="19"/>
        <v>286</v>
      </c>
      <c r="W46" s="179">
        <f t="shared" si="19"/>
        <v>48</v>
      </c>
      <c r="X46" s="179">
        <f t="shared" si="19"/>
        <v>268</v>
      </c>
      <c r="Y46" s="179">
        <f t="shared" si="19"/>
        <v>113</v>
      </c>
      <c r="Z46" s="179">
        <f t="shared" si="19"/>
        <v>2220</v>
      </c>
      <c r="AA46" s="179">
        <f t="shared" si="19"/>
        <v>1593</v>
      </c>
      <c r="AB46" s="179">
        <f t="shared" si="19"/>
        <v>3</v>
      </c>
      <c r="AC46" s="179">
        <f t="shared" si="19"/>
        <v>0</v>
      </c>
      <c r="AD46" s="179">
        <f t="shared" si="19"/>
        <v>3373</v>
      </c>
      <c r="AE46" s="179">
        <f t="shared" si="19"/>
        <v>0</v>
      </c>
      <c r="AF46" s="179">
        <f t="shared" si="19"/>
        <v>-33</v>
      </c>
      <c r="AG46" s="179">
        <f t="shared" si="19"/>
        <v>-91</v>
      </c>
      <c r="AH46" s="179">
        <f t="shared" si="20"/>
        <v>-23</v>
      </c>
      <c r="AI46" s="179">
        <f t="shared" si="20"/>
        <v>232</v>
      </c>
      <c r="AJ46" s="179">
        <f>R46-R45</f>
        <v>7989</v>
      </c>
      <c r="AK46" s="182">
        <f>R46+'[3]CBHP Caseload'!S46</f>
        <v>755665</v>
      </c>
      <c r="AL46" s="183">
        <f t="shared" si="9"/>
        <v>623040</v>
      </c>
      <c r="AM46" s="181">
        <v>669203</v>
      </c>
      <c r="AN46" s="178" t="b">
        <f t="shared" si="3"/>
        <v>1</v>
      </c>
    </row>
    <row r="47" spans="1:40" s="180" customFormat="1" hidden="1" x14ac:dyDescent="0.2">
      <c r="A47" s="358">
        <f t="shared" si="18"/>
        <v>1</v>
      </c>
      <c r="B47" s="217">
        <v>41244</v>
      </c>
      <c r="C47" s="3">
        <v>41034</v>
      </c>
      <c r="D47" s="3">
        <v>9077</v>
      </c>
      <c r="E47" s="3">
        <v>61699</v>
      </c>
      <c r="F47" s="3">
        <v>857</v>
      </c>
      <c r="G47" s="63">
        <v>97784</v>
      </c>
      <c r="H47" s="63">
        <v>40442</v>
      </c>
      <c r="I47" s="3">
        <v>9798</v>
      </c>
      <c r="J47" s="3">
        <v>616</v>
      </c>
      <c r="K47" s="3">
        <v>361446</v>
      </c>
      <c r="L47" s="3">
        <v>0</v>
      </c>
      <c r="M47" s="3">
        <v>17898</v>
      </c>
      <c r="N47" s="3">
        <v>7466</v>
      </c>
      <c r="O47" s="3">
        <v>0</v>
      </c>
      <c r="P47" s="3">
        <v>2541</v>
      </c>
      <c r="Q47" s="3">
        <v>21221</v>
      </c>
      <c r="R47" s="218">
        <f t="shared" si="16"/>
        <v>671879</v>
      </c>
      <c r="S47" s="5" t="b">
        <f t="shared" si="11"/>
        <v>1</v>
      </c>
      <c r="T47" s="5"/>
      <c r="U47" s="5"/>
      <c r="V47" s="179">
        <f t="shared" si="19"/>
        <v>-25</v>
      </c>
      <c r="W47" s="179">
        <f t="shared" si="19"/>
        <v>80</v>
      </c>
      <c r="X47" s="179">
        <f t="shared" si="19"/>
        <v>128</v>
      </c>
      <c r="Y47" s="179">
        <f t="shared" si="19"/>
        <v>104</v>
      </c>
      <c r="Z47" s="179">
        <f t="shared" si="19"/>
        <v>-549</v>
      </c>
      <c r="AA47" s="179">
        <f t="shared" si="19"/>
        <v>-1453</v>
      </c>
      <c r="AB47" s="179">
        <f t="shared" si="19"/>
        <v>-174</v>
      </c>
      <c r="AC47" s="179">
        <f t="shared" si="19"/>
        <v>1</v>
      </c>
      <c r="AD47" s="179">
        <f t="shared" si="19"/>
        <v>4549</v>
      </c>
      <c r="AE47" s="179">
        <f t="shared" si="19"/>
        <v>0</v>
      </c>
      <c r="AF47" s="179">
        <f t="shared" si="19"/>
        <v>-69</v>
      </c>
      <c r="AG47" s="179">
        <f t="shared" si="19"/>
        <v>-134</v>
      </c>
      <c r="AH47" s="179">
        <f t="shared" si="20"/>
        <v>-5</v>
      </c>
      <c r="AI47" s="179">
        <f t="shared" si="20"/>
        <v>223</v>
      </c>
      <c r="AJ47" s="179">
        <f t="shared" si="20"/>
        <v>2676</v>
      </c>
      <c r="AK47" s="182">
        <f>R47+'[3]CBHP Caseload'!S47</f>
        <v>759046</v>
      </c>
      <c r="AL47" s="183">
        <f t="shared" si="9"/>
        <v>626015</v>
      </c>
      <c r="AM47" s="462">
        <v>671879</v>
      </c>
      <c r="AN47" s="178" t="b">
        <f t="shared" si="3"/>
        <v>1</v>
      </c>
    </row>
    <row r="48" spans="1:40" s="180" customFormat="1" hidden="1" x14ac:dyDescent="0.2">
      <c r="A48" s="358">
        <f t="shared" si="18"/>
        <v>1</v>
      </c>
      <c r="B48" s="217">
        <v>41275</v>
      </c>
      <c r="C48" s="3">
        <v>41066</v>
      </c>
      <c r="D48" s="3">
        <v>9096</v>
      </c>
      <c r="E48" s="3">
        <v>61803</v>
      </c>
      <c r="F48" s="3">
        <v>988</v>
      </c>
      <c r="G48" s="63">
        <v>99404</v>
      </c>
      <c r="H48" s="63">
        <v>40895</v>
      </c>
      <c r="I48" s="3">
        <v>9777</v>
      </c>
      <c r="J48" s="3">
        <v>613</v>
      </c>
      <c r="K48" s="63">
        <v>361220</v>
      </c>
      <c r="L48" s="63">
        <v>5223</v>
      </c>
      <c r="M48" s="3">
        <v>17720</v>
      </c>
      <c r="N48" s="63">
        <v>8250</v>
      </c>
      <c r="O48" s="63">
        <v>437</v>
      </c>
      <c r="P48" s="3">
        <v>2655</v>
      </c>
      <c r="Q48" s="3">
        <v>21366</v>
      </c>
      <c r="R48" s="218">
        <f t="shared" si="16"/>
        <v>680513</v>
      </c>
      <c r="S48" s="5" t="b">
        <f t="shared" si="11"/>
        <v>1</v>
      </c>
      <c r="T48" s="5"/>
      <c r="U48" s="5"/>
      <c r="V48" s="179">
        <f t="shared" si="19"/>
        <v>32</v>
      </c>
      <c r="W48" s="179">
        <f t="shared" si="19"/>
        <v>19</v>
      </c>
      <c r="X48" s="179">
        <f t="shared" si="19"/>
        <v>104</v>
      </c>
      <c r="Y48" s="179">
        <f t="shared" si="19"/>
        <v>131</v>
      </c>
      <c r="Z48" s="179">
        <f t="shared" si="19"/>
        <v>1620</v>
      </c>
      <c r="AA48" s="179">
        <f t="shared" si="19"/>
        <v>453</v>
      </c>
      <c r="AB48" s="179">
        <f t="shared" si="19"/>
        <v>-21</v>
      </c>
      <c r="AC48" s="179">
        <f t="shared" si="19"/>
        <v>-3</v>
      </c>
      <c r="AD48" s="179">
        <f t="shared" si="19"/>
        <v>-226</v>
      </c>
      <c r="AE48" s="179">
        <f t="shared" si="19"/>
        <v>5223</v>
      </c>
      <c r="AF48" s="179">
        <f t="shared" si="19"/>
        <v>-178</v>
      </c>
      <c r="AG48" s="179">
        <f t="shared" si="19"/>
        <v>784</v>
      </c>
      <c r="AH48" s="179">
        <f t="shared" si="20"/>
        <v>114</v>
      </c>
      <c r="AI48" s="179">
        <f t="shared" si="20"/>
        <v>145</v>
      </c>
      <c r="AJ48" s="179">
        <f t="shared" si="20"/>
        <v>8634</v>
      </c>
      <c r="AK48" s="182">
        <f>R48+'[3]CBHP Caseload'!S48</f>
        <v>762860</v>
      </c>
      <c r="AL48" s="183">
        <f t="shared" si="9"/>
        <v>629529</v>
      </c>
      <c r="AM48" s="462">
        <v>680513</v>
      </c>
      <c r="AN48" s="178" t="b">
        <f t="shared" si="3"/>
        <v>1</v>
      </c>
    </row>
    <row r="49" spans="1:40" s="180" customFormat="1" hidden="1" x14ac:dyDescent="0.2">
      <c r="A49" s="358">
        <f t="shared" si="18"/>
        <v>1</v>
      </c>
      <c r="B49" s="217">
        <v>41306</v>
      </c>
      <c r="C49" s="3">
        <v>41093</v>
      </c>
      <c r="D49" s="3">
        <v>9152</v>
      </c>
      <c r="E49" s="3">
        <v>62245</v>
      </c>
      <c r="F49" s="3">
        <v>1056</v>
      </c>
      <c r="G49" s="63">
        <v>101305</v>
      </c>
      <c r="H49" s="63">
        <v>42236</v>
      </c>
      <c r="I49" s="3">
        <v>9959</v>
      </c>
      <c r="J49" s="3">
        <v>608</v>
      </c>
      <c r="K49" s="63">
        <v>362024</v>
      </c>
      <c r="L49" s="63">
        <v>13463</v>
      </c>
      <c r="M49" s="3">
        <v>17673</v>
      </c>
      <c r="N49" s="63">
        <v>8322</v>
      </c>
      <c r="O49" s="63">
        <v>531</v>
      </c>
      <c r="P49" s="3">
        <v>2666</v>
      </c>
      <c r="Q49" s="3">
        <v>21532</v>
      </c>
      <c r="R49" s="218">
        <f t="shared" si="16"/>
        <v>693865</v>
      </c>
      <c r="S49" s="5" t="b">
        <f t="shared" si="11"/>
        <v>1</v>
      </c>
      <c r="T49" s="5"/>
      <c r="U49" s="5"/>
      <c r="V49" s="179">
        <f t="shared" si="19"/>
        <v>27</v>
      </c>
      <c r="W49" s="179">
        <f t="shared" si="19"/>
        <v>56</v>
      </c>
      <c r="X49" s="179">
        <f t="shared" si="19"/>
        <v>442</v>
      </c>
      <c r="Y49" s="179">
        <f t="shared" si="19"/>
        <v>68</v>
      </c>
      <c r="Z49" s="179">
        <f t="shared" si="19"/>
        <v>1901</v>
      </c>
      <c r="AA49" s="179">
        <f t="shared" si="19"/>
        <v>1341</v>
      </c>
      <c r="AB49" s="179">
        <f t="shared" si="19"/>
        <v>182</v>
      </c>
      <c r="AC49" s="179">
        <f t="shared" si="19"/>
        <v>-5</v>
      </c>
      <c r="AD49" s="179">
        <f t="shared" si="19"/>
        <v>804</v>
      </c>
      <c r="AE49" s="179">
        <f>L49-L48</f>
        <v>8240</v>
      </c>
      <c r="AF49" s="179">
        <f t="shared" si="19"/>
        <v>-47</v>
      </c>
      <c r="AG49" s="179">
        <f t="shared" si="19"/>
        <v>72</v>
      </c>
      <c r="AH49" s="179">
        <f t="shared" si="20"/>
        <v>11</v>
      </c>
      <c r="AI49" s="179">
        <f t="shared" si="20"/>
        <v>166</v>
      </c>
      <c r="AJ49" s="179">
        <f t="shared" si="20"/>
        <v>13352</v>
      </c>
      <c r="AK49" s="182">
        <f>R49+'[3]CBHP Caseload'!S49</f>
        <v>770690</v>
      </c>
      <c r="AL49" s="183">
        <f t="shared" si="9"/>
        <v>636668</v>
      </c>
      <c r="AM49" s="462">
        <v>693865</v>
      </c>
      <c r="AN49" s="178" t="b">
        <f t="shared" si="3"/>
        <v>1</v>
      </c>
    </row>
    <row r="50" spans="1:40" s="180" customFormat="1" hidden="1" x14ac:dyDescent="0.2">
      <c r="A50" s="358">
        <f t="shared" si="18"/>
        <v>1</v>
      </c>
      <c r="B50" s="217">
        <v>41334</v>
      </c>
      <c r="C50" s="3">
        <v>40697</v>
      </c>
      <c r="D50" s="3">
        <v>9130</v>
      </c>
      <c r="E50" s="3">
        <v>62485</v>
      </c>
      <c r="F50" s="3">
        <v>1125</v>
      </c>
      <c r="G50" s="63">
        <v>100247</v>
      </c>
      <c r="H50" s="63">
        <v>42110</v>
      </c>
      <c r="I50" s="3">
        <v>9621</v>
      </c>
      <c r="J50" s="3">
        <v>618</v>
      </c>
      <c r="K50" s="63">
        <v>363012</v>
      </c>
      <c r="L50" s="63">
        <v>18263</v>
      </c>
      <c r="M50" s="3">
        <v>17619</v>
      </c>
      <c r="N50" s="63">
        <v>8311</v>
      </c>
      <c r="O50" s="63">
        <v>636</v>
      </c>
      <c r="P50" s="3">
        <v>2733</v>
      </c>
      <c r="Q50" s="3">
        <v>21530</v>
      </c>
      <c r="R50" s="218">
        <f t="shared" si="16"/>
        <v>698137</v>
      </c>
      <c r="S50" s="5" t="b">
        <f t="shared" si="11"/>
        <v>1</v>
      </c>
      <c r="T50" s="5"/>
      <c r="U50" s="5"/>
      <c r="V50" s="179">
        <f t="shared" si="19"/>
        <v>-396</v>
      </c>
      <c r="W50" s="179">
        <f t="shared" si="19"/>
        <v>-22</v>
      </c>
      <c r="X50" s="179">
        <f t="shared" si="19"/>
        <v>240</v>
      </c>
      <c r="Y50" s="179">
        <f t="shared" si="19"/>
        <v>69</v>
      </c>
      <c r="Z50" s="179">
        <f t="shared" si="19"/>
        <v>-1058</v>
      </c>
      <c r="AA50" s="179">
        <f t="shared" si="19"/>
        <v>-126</v>
      </c>
      <c r="AB50" s="179">
        <f t="shared" si="19"/>
        <v>-338</v>
      </c>
      <c r="AC50" s="179">
        <f t="shared" si="19"/>
        <v>10</v>
      </c>
      <c r="AD50" s="179">
        <f t="shared" si="19"/>
        <v>988</v>
      </c>
      <c r="AE50" s="179">
        <f t="shared" si="19"/>
        <v>4800</v>
      </c>
      <c r="AF50" s="179">
        <f t="shared" si="19"/>
        <v>-54</v>
      </c>
      <c r="AG50" s="179">
        <f t="shared" si="19"/>
        <v>-11</v>
      </c>
      <c r="AH50" s="179">
        <f t="shared" si="20"/>
        <v>67</v>
      </c>
      <c r="AI50" s="179">
        <f t="shared" si="20"/>
        <v>-2</v>
      </c>
      <c r="AJ50" s="179">
        <f t="shared" si="20"/>
        <v>4272</v>
      </c>
      <c r="AK50" s="182">
        <f>R50+'[3]CBHP Caseload'!S50</f>
        <v>770719</v>
      </c>
      <c r="AL50" s="183">
        <f t="shared" si="9"/>
        <v>636877</v>
      </c>
      <c r="AM50" s="462">
        <v>698137</v>
      </c>
      <c r="AN50" s="178" t="b">
        <f t="shared" si="3"/>
        <v>1</v>
      </c>
    </row>
    <row r="51" spans="1:40" s="180" customFormat="1" hidden="1" x14ac:dyDescent="0.2">
      <c r="A51" s="358">
        <f t="shared" si="18"/>
        <v>1</v>
      </c>
      <c r="B51" s="217">
        <v>41365</v>
      </c>
      <c r="C51" s="3">
        <v>40898</v>
      </c>
      <c r="D51" s="3">
        <v>9222</v>
      </c>
      <c r="E51" s="3">
        <v>62976</v>
      </c>
      <c r="F51" s="3">
        <v>1232</v>
      </c>
      <c r="G51" s="63">
        <v>101576</v>
      </c>
      <c r="H51" s="63">
        <v>42997</v>
      </c>
      <c r="I51" s="3">
        <v>12076</v>
      </c>
      <c r="J51" s="3">
        <v>639</v>
      </c>
      <c r="K51" s="63">
        <v>364317</v>
      </c>
      <c r="L51" s="63">
        <v>20016</v>
      </c>
      <c r="M51" s="3">
        <v>17598</v>
      </c>
      <c r="N51" s="63">
        <v>8477</v>
      </c>
      <c r="O51" s="63">
        <v>730</v>
      </c>
      <c r="P51" s="3">
        <v>2798</v>
      </c>
      <c r="Q51" s="3">
        <v>21738</v>
      </c>
      <c r="R51" s="218">
        <f t="shared" si="16"/>
        <v>707290</v>
      </c>
      <c r="S51" s="5" t="b">
        <f t="shared" si="11"/>
        <v>1</v>
      </c>
      <c r="T51" s="5"/>
      <c r="U51" s="5"/>
      <c r="V51" s="179">
        <f t="shared" si="19"/>
        <v>201</v>
      </c>
      <c r="W51" s="179">
        <f t="shared" si="19"/>
        <v>92</v>
      </c>
      <c r="X51" s="179">
        <f t="shared" si="19"/>
        <v>491</v>
      </c>
      <c r="Y51" s="179">
        <f>F51-F50</f>
        <v>107</v>
      </c>
      <c r="Z51" s="179">
        <f t="shared" si="19"/>
        <v>1329</v>
      </c>
      <c r="AA51" s="179">
        <f t="shared" si="19"/>
        <v>887</v>
      </c>
      <c r="AB51" s="179">
        <f t="shared" si="19"/>
        <v>2455</v>
      </c>
      <c r="AC51" s="179">
        <f>J51-J50</f>
        <v>21</v>
      </c>
      <c r="AD51" s="179">
        <f t="shared" si="19"/>
        <v>1305</v>
      </c>
      <c r="AE51" s="179">
        <f t="shared" si="19"/>
        <v>1753</v>
      </c>
      <c r="AF51" s="179">
        <f t="shared" si="19"/>
        <v>-21</v>
      </c>
      <c r="AG51" s="179">
        <f t="shared" si="19"/>
        <v>166</v>
      </c>
      <c r="AH51" s="179">
        <f t="shared" si="20"/>
        <v>65</v>
      </c>
      <c r="AI51" s="179">
        <f t="shared" si="20"/>
        <v>208</v>
      </c>
      <c r="AJ51" s="179">
        <f>R51-R50</f>
        <v>9153</v>
      </c>
      <c r="AK51" s="182">
        <f>R51+'[3]CBHP Caseload'!S51</f>
        <v>779640</v>
      </c>
      <c r="AL51" s="183">
        <f t="shared" si="9"/>
        <v>644806</v>
      </c>
      <c r="AM51" s="462">
        <v>707290</v>
      </c>
      <c r="AN51" s="178" t="b">
        <f t="shared" si="3"/>
        <v>1</v>
      </c>
    </row>
    <row r="52" spans="1:40" s="180" customFormat="1" hidden="1" x14ac:dyDescent="0.2">
      <c r="A52" s="358">
        <f t="shared" si="18"/>
        <v>1</v>
      </c>
      <c r="B52" s="217">
        <v>41395</v>
      </c>
      <c r="C52" s="3">
        <v>41108</v>
      </c>
      <c r="D52" s="3">
        <v>9295</v>
      </c>
      <c r="E52" s="3">
        <v>63416</v>
      </c>
      <c r="F52" s="3">
        <v>1318</v>
      </c>
      <c r="G52" s="63">
        <v>106147</v>
      </c>
      <c r="H52" s="63">
        <v>45535</v>
      </c>
      <c r="I52" s="3">
        <v>12462</v>
      </c>
      <c r="J52" s="3">
        <v>659</v>
      </c>
      <c r="K52" s="63">
        <v>366710</v>
      </c>
      <c r="L52" s="63">
        <v>21546</v>
      </c>
      <c r="M52" s="3">
        <v>17257</v>
      </c>
      <c r="N52" s="63">
        <v>8346</v>
      </c>
      <c r="O52" s="63">
        <v>938</v>
      </c>
      <c r="P52" s="3">
        <v>2848</v>
      </c>
      <c r="Q52" s="3">
        <v>22000</v>
      </c>
      <c r="R52" s="218">
        <f t="shared" si="16"/>
        <v>719585</v>
      </c>
      <c r="S52" s="5" t="b">
        <f>R52=SUM(C52:Q52)</f>
        <v>1</v>
      </c>
      <c r="T52" s="5"/>
      <c r="U52" s="5"/>
      <c r="V52" s="179">
        <f t="shared" si="19"/>
        <v>210</v>
      </c>
      <c r="W52" s="179">
        <f t="shared" si="19"/>
        <v>73</v>
      </c>
      <c r="X52" s="179">
        <f t="shared" si="19"/>
        <v>440</v>
      </c>
      <c r="Y52" s="179">
        <f t="shared" si="19"/>
        <v>86</v>
      </c>
      <c r="Z52" s="179">
        <f t="shared" si="19"/>
        <v>4571</v>
      </c>
      <c r="AA52" s="179">
        <f t="shared" si="19"/>
        <v>2538</v>
      </c>
      <c r="AB52" s="179">
        <f t="shared" si="19"/>
        <v>386</v>
      </c>
      <c r="AC52" s="179">
        <f t="shared" si="19"/>
        <v>20</v>
      </c>
      <c r="AD52" s="179">
        <f t="shared" si="19"/>
        <v>2393</v>
      </c>
      <c r="AE52" s="179">
        <f t="shared" si="19"/>
        <v>1530</v>
      </c>
      <c r="AF52" s="179">
        <f t="shared" si="19"/>
        <v>-341</v>
      </c>
      <c r="AG52" s="179">
        <f t="shared" si="19"/>
        <v>-131</v>
      </c>
      <c r="AH52" s="179">
        <f t="shared" si="20"/>
        <v>50</v>
      </c>
      <c r="AI52" s="179">
        <f t="shared" si="20"/>
        <v>262</v>
      </c>
      <c r="AJ52" s="179">
        <f>R52-R51</f>
        <v>12295</v>
      </c>
      <c r="AK52" s="182">
        <f>R52+'[3]CBHP Caseload'!S52</f>
        <v>788091</v>
      </c>
      <c r="AL52" s="183">
        <f t="shared" si="9"/>
        <v>652272</v>
      </c>
      <c r="AM52" s="462">
        <v>719585</v>
      </c>
      <c r="AN52" s="178" t="b">
        <f t="shared" si="3"/>
        <v>1</v>
      </c>
    </row>
    <row r="53" spans="1:40" s="180" customFormat="1" hidden="1" x14ac:dyDescent="0.2">
      <c r="A53" s="358">
        <f t="shared" si="18"/>
        <v>1</v>
      </c>
      <c r="B53" s="217">
        <v>41426</v>
      </c>
      <c r="C53" s="3">
        <v>41153</v>
      </c>
      <c r="D53" s="3">
        <v>9358</v>
      </c>
      <c r="E53" s="3">
        <v>63540</v>
      </c>
      <c r="F53" s="3">
        <v>1368</v>
      </c>
      <c r="G53" s="63">
        <v>108773</v>
      </c>
      <c r="H53" s="63">
        <v>43600</v>
      </c>
      <c r="I53" s="3">
        <v>14772</v>
      </c>
      <c r="J53" s="3">
        <v>659</v>
      </c>
      <c r="K53" s="63">
        <v>373604</v>
      </c>
      <c r="L53" s="63">
        <v>20327</v>
      </c>
      <c r="M53" s="3">
        <v>17691</v>
      </c>
      <c r="N53" s="63">
        <v>8457</v>
      </c>
      <c r="O53" s="63">
        <v>863</v>
      </c>
      <c r="P53" s="3">
        <v>2739</v>
      </c>
      <c r="Q53" s="3">
        <v>22170</v>
      </c>
      <c r="R53" s="218">
        <f t="shared" si="16"/>
        <v>729074</v>
      </c>
      <c r="S53" s="5" t="b">
        <f>R53=SUM(C53:Q53)</f>
        <v>1</v>
      </c>
      <c r="T53" s="5"/>
      <c r="U53" s="5"/>
      <c r="V53" s="179">
        <f t="shared" si="19"/>
        <v>45</v>
      </c>
      <c r="W53" s="179">
        <f t="shared" si="19"/>
        <v>63</v>
      </c>
      <c r="X53" s="179">
        <f t="shared" si="19"/>
        <v>124</v>
      </c>
      <c r="Y53" s="179">
        <f t="shared" si="19"/>
        <v>50</v>
      </c>
      <c r="Z53" s="179">
        <f t="shared" si="19"/>
        <v>2626</v>
      </c>
      <c r="AA53" s="179">
        <f t="shared" si="19"/>
        <v>-1935</v>
      </c>
      <c r="AB53" s="179">
        <f t="shared" si="19"/>
        <v>2310</v>
      </c>
      <c r="AC53" s="179">
        <f t="shared" si="19"/>
        <v>0</v>
      </c>
      <c r="AD53" s="179">
        <f t="shared" si="19"/>
        <v>6894</v>
      </c>
      <c r="AE53" s="179">
        <f t="shared" si="19"/>
        <v>-1219</v>
      </c>
      <c r="AF53" s="179">
        <f t="shared" si="19"/>
        <v>434</v>
      </c>
      <c r="AG53" s="179">
        <f t="shared" si="19"/>
        <v>111</v>
      </c>
      <c r="AH53" s="179">
        <f t="shared" si="20"/>
        <v>-109</v>
      </c>
      <c r="AI53" s="179">
        <f t="shared" si="20"/>
        <v>170</v>
      </c>
      <c r="AJ53" s="179">
        <f>R53-R52</f>
        <v>9489</v>
      </c>
      <c r="AK53" s="182">
        <f>R53+'[3]CBHP Caseload'!S53</f>
        <v>795193</v>
      </c>
      <c r="AL53" s="183">
        <f t="shared" si="9"/>
        <v>658972</v>
      </c>
      <c r="AM53" s="462">
        <v>729074</v>
      </c>
      <c r="AN53" s="178" t="b">
        <f t="shared" si="3"/>
        <v>1</v>
      </c>
    </row>
    <row r="54" spans="1:40" s="180" customFormat="1" hidden="1" x14ac:dyDescent="0.2">
      <c r="A54" s="358">
        <f t="shared" si="18"/>
        <v>1</v>
      </c>
      <c r="B54" s="221" t="s">
        <v>127</v>
      </c>
      <c r="C54" s="7">
        <f>ROUND(AVERAGE(C42:C53),0)</f>
        <v>40827</v>
      </c>
      <c r="D54" s="7">
        <f t="shared" ref="D54:Q54" si="21">ROUND(AVERAGE(D42:D53),0)</f>
        <v>9051</v>
      </c>
      <c r="E54" s="7">
        <f t="shared" si="21"/>
        <v>61920</v>
      </c>
      <c r="F54" s="7">
        <f t="shared" si="21"/>
        <v>888</v>
      </c>
      <c r="G54" s="7">
        <f t="shared" si="21"/>
        <v>99392</v>
      </c>
      <c r="H54" s="7">
        <f t="shared" si="21"/>
        <v>41545</v>
      </c>
      <c r="I54" s="7">
        <f>ROUND(AVERAGE(I42:I53),0)</f>
        <v>10634</v>
      </c>
      <c r="J54" s="7">
        <f>ROUND(AVERAGE(J42:J53),0)</f>
        <v>623</v>
      </c>
      <c r="K54" s="7">
        <f>ROUND(AVERAGE(K42:K53),0)</f>
        <v>359843</v>
      </c>
      <c r="L54" s="7">
        <f>ROUND(AVERAGE(L42:L53),0)-1</f>
        <v>8236</v>
      </c>
      <c r="M54" s="7">
        <f t="shared" si="21"/>
        <v>17777</v>
      </c>
      <c r="N54" s="7">
        <f t="shared" si="21"/>
        <v>8024</v>
      </c>
      <c r="O54" s="7">
        <f>ROUND(AVERAGE(O42:O53),0)-1</f>
        <v>344</v>
      </c>
      <c r="P54" s="7">
        <f t="shared" si="21"/>
        <v>2684</v>
      </c>
      <c r="Q54" s="7">
        <f t="shared" si="21"/>
        <v>21206</v>
      </c>
      <c r="R54" s="222">
        <f>SUM(C54:Q54)</f>
        <v>682994</v>
      </c>
      <c r="S54" s="5" t="b">
        <f>R54=SUM(C54:Q54)</f>
        <v>1</v>
      </c>
      <c r="T54" s="5"/>
      <c r="U54" s="5"/>
      <c r="V54" s="179"/>
      <c r="W54" s="179"/>
      <c r="X54" s="179"/>
      <c r="Y54" s="179"/>
      <c r="Z54" s="179"/>
      <c r="AA54" s="179"/>
      <c r="AB54" s="179"/>
      <c r="AC54" s="179"/>
      <c r="AD54" s="179"/>
      <c r="AE54" s="179"/>
      <c r="AF54" s="179"/>
      <c r="AG54" s="179"/>
      <c r="AH54" s="179"/>
      <c r="AI54" s="179"/>
      <c r="AJ54" s="184">
        <f>AVERAGE(AJ42:AJ53)</f>
        <v>6496</v>
      </c>
      <c r="AK54" s="182"/>
      <c r="AL54" s="183"/>
      <c r="AM54" s="462">
        <v>682994</v>
      </c>
      <c r="AN54" s="178" t="b">
        <f t="shared" si="3"/>
        <v>1</v>
      </c>
    </row>
    <row r="55" spans="1:40" s="180" customFormat="1" hidden="1" x14ac:dyDescent="0.2">
      <c r="A55" s="358">
        <f t="shared" si="18"/>
        <v>1</v>
      </c>
      <c r="B55" s="223">
        <v>41456</v>
      </c>
      <c r="C55" s="212">
        <v>41243</v>
      </c>
      <c r="D55" s="212">
        <v>9466</v>
      </c>
      <c r="E55" s="212">
        <v>63919</v>
      </c>
      <c r="F55" s="212">
        <v>1494</v>
      </c>
      <c r="G55" s="213">
        <v>105843</v>
      </c>
      <c r="H55" s="213">
        <v>43321</v>
      </c>
      <c r="I55" s="213">
        <v>16073</v>
      </c>
      <c r="J55" s="213">
        <v>660</v>
      </c>
      <c r="K55" s="213">
        <v>379057</v>
      </c>
      <c r="L55" s="213">
        <v>11487</v>
      </c>
      <c r="M55" s="212">
        <v>17652</v>
      </c>
      <c r="N55" s="213">
        <v>9053</v>
      </c>
      <c r="O55" s="213">
        <v>334</v>
      </c>
      <c r="P55" s="212">
        <v>2754</v>
      </c>
      <c r="Q55" s="212">
        <v>22368</v>
      </c>
      <c r="R55" s="224">
        <f t="shared" si="16"/>
        <v>724724</v>
      </c>
      <c r="S55" s="5" t="b">
        <f t="shared" ref="S55:S66" si="22">R55=SUM(C55:Q55)</f>
        <v>1</v>
      </c>
      <c r="T55" s="5"/>
      <c r="U55" s="5"/>
      <c r="V55" s="179">
        <f t="shared" ref="V55:AG55" si="23">C55-C53</f>
        <v>90</v>
      </c>
      <c r="W55" s="179">
        <f t="shared" si="23"/>
        <v>108</v>
      </c>
      <c r="X55" s="179">
        <f t="shared" si="23"/>
        <v>379</v>
      </c>
      <c r="Y55" s="179">
        <f t="shared" si="23"/>
        <v>126</v>
      </c>
      <c r="Z55" s="179">
        <f t="shared" si="23"/>
        <v>-2930</v>
      </c>
      <c r="AA55" s="179">
        <f t="shared" si="23"/>
        <v>-279</v>
      </c>
      <c r="AB55" s="179">
        <f t="shared" si="23"/>
        <v>1301</v>
      </c>
      <c r="AC55" s="179">
        <f t="shared" si="23"/>
        <v>1</v>
      </c>
      <c r="AD55" s="179">
        <f t="shared" si="23"/>
        <v>5453</v>
      </c>
      <c r="AE55" s="179">
        <f t="shared" si="23"/>
        <v>-8840</v>
      </c>
      <c r="AF55" s="179">
        <f t="shared" si="23"/>
        <v>-39</v>
      </c>
      <c r="AG55" s="179">
        <f t="shared" si="23"/>
        <v>596</v>
      </c>
      <c r="AH55" s="179">
        <f>P55-P53</f>
        <v>15</v>
      </c>
      <c r="AI55" s="179">
        <f>Q55-Q53</f>
        <v>198</v>
      </c>
      <c r="AJ55" s="179">
        <f>R55-R53</f>
        <v>-4350</v>
      </c>
      <c r="AK55" s="182">
        <f>R55+'[3]CBHP Caseload'!S55</f>
        <v>794409</v>
      </c>
      <c r="AL55" s="183">
        <f t="shared" ref="AL55:AL62" si="24">AK55-Q55-C55-D55-E55</f>
        <v>657413</v>
      </c>
      <c r="AM55" s="462">
        <v>724724</v>
      </c>
      <c r="AN55" s="178" t="b">
        <f t="shared" si="3"/>
        <v>1</v>
      </c>
    </row>
    <row r="56" spans="1:40" s="180" customFormat="1" hidden="1" x14ac:dyDescent="0.2">
      <c r="A56" s="358">
        <f t="shared" si="18"/>
        <v>1</v>
      </c>
      <c r="B56" s="217">
        <v>41487</v>
      </c>
      <c r="C56" s="3">
        <v>41540</v>
      </c>
      <c r="D56" s="3">
        <v>9538</v>
      </c>
      <c r="E56" s="3">
        <v>64281</v>
      </c>
      <c r="F56" s="3">
        <v>1616</v>
      </c>
      <c r="G56" s="63">
        <v>106672</v>
      </c>
      <c r="H56" s="63">
        <v>45336</v>
      </c>
      <c r="I56" s="63">
        <v>17388</v>
      </c>
      <c r="J56" s="63">
        <v>648</v>
      </c>
      <c r="K56" s="63">
        <v>382925</v>
      </c>
      <c r="L56" s="63">
        <v>8984</v>
      </c>
      <c r="M56" s="3">
        <v>17659</v>
      </c>
      <c r="N56" s="63">
        <v>9219</v>
      </c>
      <c r="O56" s="63">
        <v>186</v>
      </c>
      <c r="P56" s="3">
        <v>2562</v>
      </c>
      <c r="Q56" s="3">
        <v>22539</v>
      </c>
      <c r="R56" s="218">
        <f t="shared" si="16"/>
        <v>731093</v>
      </c>
      <c r="S56" s="5" t="b">
        <f t="shared" si="22"/>
        <v>1</v>
      </c>
      <c r="T56" s="5"/>
      <c r="U56" s="5"/>
      <c r="V56" s="179">
        <f t="shared" ref="V56:AG62" si="25">C56-C55</f>
        <v>297</v>
      </c>
      <c r="W56" s="179">
        <f t="shared" si="25"/>
        <v>72</v>
      </c>
      <c r="X56" s="179">
        <f t="shared" si="25"/>
        <v>362</v>
      </c>
      <c r="Y56" s="179">
        <f t="shared" si="25"/>
        <v>122</v>
      </c>
      <c r="Z56" s="179">
        <f t="shared" si="25"/>
        <v>829</v>
      </c>
      <c r="AA56" s="179">
        <f t="shared" si="25"/>
        <v>2015</v>
      </c>
      <c r="AB56" s="179">
        <f t="shared" si="25"/>
        <v>1315</v>
      </c>
      <c r="AC56" s="179">
        <f t="shared" si="25"/>
        <v>-12</v>
      </c>
      <c r="AD56" s="179">
        <f t="shared" si="25"/>
        <v>3868</v>
      </c>
      <c r="AE56" s="179">
        <f t="shared" si="25"/>
        <v>-2503</v>
      </c>
      <c r="AF56" s="179">
        <f t="shared" si="25"/>
        <v>7</v>
      </c>
      <c r="AG56" s="179">
        <f t="shared" si="25"/>
        <v>166</v>
      </c>
      <c r="AH56" s="179">
        <f t="shared" ref="AH56:AJ62" si="26">P56-P55</f>
        <v>-192</v>
      </c>
      <c r="AI56" s="179">
        <f t="shared" si="26"/>
        <v>171</v>
      </c>
      <c r="AJ56" s="179">
        <f t="shared" si="26"/>
        <v>6369</v>
      </c>
      <c r="AK56" s="182">
        <f>R56+'[3]CBHP Caseload'!S56</f>
        <v>800180</v>
      </c>
      <c r="AL56" s="183">
        <f t="shared" si="24"/>
        <v>662282</v>
      </c>
      <c r="AM56" s="462">
        <v>731093</v>
      </c>
      <c r="AN56" s="178" t="b">
        <f t="shared" si="3"/>
        <v>1</v>
      </c>
    </row>
    <row r="57" spans="1:40" s="180" customFormat="1" hidden="1" x14ac:dyDescent="0.2">
      <c r="A57" s="358">
        <f t="shared" si="18"/>
        <v>1</v>
      </c>
      <c r="B57" s="217">
        <v>41518</v>
      </c>
      <c r="C57" s="3">
        <v>41696</v>
      </c>
      <c r="D57" s="3">
        <v>9641</v>
      </c>
      <c r="E57" s="3">
        <v>64309</v>
      </c>
      <c r="F57" s="3">
        <v>1692</v>
      </c>
      <c r="G57" s="63">
        <v>110929</v>
      </c>
      <c r="H57" s="63">
        <v>43247</v>
      </c>
      <c r="I57" s="63">
        <v>20951</v>
      </c>
      <c r="J57" s="63">
        <v>645</v>
      </c>
      <c r="K57" s="63">
        <v>394462</v>
      </c>
      <c r="L57" s="63">
        <v>4348</v>
      </c>
      <c r="M57" s="3">
        <v>17619</v>
      </c>
      <c r="N57" s="63">
        <v>9240</v>
      </c>
      <c r="O57" s="63">
        <v>105</v>
      </c>
      <c r="P57" s="3">
        <v>2511</v>
      </c>
      <c r="Q57" s="3">
        <v>22690</v>
      </c>
      <c r="R57" s="218">
        <f t="shared" si="16"/>
        <v>744085</v>
      </c>
      <c r="S57" s="5" t="b">
        <f t="shared" si="22"/>
        <v>1</v>
      </c>
      <c r="T57" s="5"/>
      <c r="U57" s="5"/>
      <c r="V57" s="179">
        <f t="shared" si="25"/>
        <v>156</v>
      </c>
      <c r="W57" s="179">
        <f t="shared" si="25"/>
        <v>103</v>
      </c>
      <c r="X57" s="179">
        <f t="shared" si="25"/>
        <v>28</v>
      </c>
      <c r="Y57" s="179">
        <f t="shared" si="25"/>
        <v>76</v>
      </c>
      <c r="Z57" s="179">
        <f t="shared" si="25"/>
        <v>4257</v>
      </c>
      <c r="AA57" s="179">
        <f t="shared" si="25"/>
        <v>-2089</v>
      </c>
      <c r="AB57" s="179">
        <f t="shared" si="25"/>
        <v>3563</v>
      </c>
      <c r="AC57" s="179">
        <f t="shared" si="25"/>
        <v>-3</v>
      </c>
      <c r="AD57" s="179">
        <f t="shared" si="25"/>
        <v>11537</v>
      </c>
      <c r="AE57" s="179">
        <f t="shared" si="25"/>
        <v>-4636</v>
      </c>
      <c r="AF57" s="179">
        <f t="shared" si="25"/>
        <v>-40</v>
      </c>
      <c r="AG57" s="179">
        <f t="shared" si="25"/>
        <v>21</v>
      </c>
      <c r="AH57" s="179">
        <f t="shared" si="26"/>
        <v>-51</v>
      </c>
      <c r="AI57" s="179">
        <f t="shared" si="26"/>
        <v>151</v>
      </c>
      <c r="AJ57" s="179">
        <f t="shared" si="26"/>
        <v>12992</v>
      </c>
      <c r="AK57" s="182">
        <f>R57+'[3]CBHP Caseload'!S57</f>
        <v>812105</v>
      </c>
      <c r="AL57" s="183">
        <f t="shared" si="24"/>
        <v>673769</v>
      </c>
      <c r="AM57" s="462">
        <v>744085</v>
      </c>
      <c r="AN57" s="178" t="b">
        <f t="shared" si="3"/>
        <v>1</v>
      </c>
    </row>
    <row r="58" spans="1:40" s="180" customFormat="1" hidden="1" x14ac:dyDescent="0.2">
      <c r="A58" s="358">
        <f t="shared" si="18"/>
        <v>1</v>
      </c>
      <c r="B58" s="217">
        <v>41548</v>
      </c>
      <c r="C58" s="3">
        <v>41861</v>
      </c>
      <c r="D58" s="3">
        <v>9709</v>
      </c>
      <c r="E58" s="3">
        <v>64151</v>
      </c>
      <c r="F58" s="3">
        <v>2200</v>
      </c>
      <c r="G58" s="63">
        <v>111274</v>
      </c>
      <c r="H58" s="63">
        <v>37094</v>
      </c>
      <c r="I58" s="63">
        <v>19168</v>
      </c>
      <c r="J58" s="63">
        <v>639</v>
      </c>
      <c r="K58" s="63">
        <v>382709</v>
      </c>
      <c r="L58" s="63">
        <v>11153</v>
      </c>
      <c r="M58" s="3">
        <v>17675</v>
      </c>
      <c r="N58" s="63">
        <v>13079</v>
      </c>
      <c r="O58" s="3">
        <v>549</v>
      </c>
      <c r="P58" s="3">
        <v>2392</v>
      </c>
      <c r="Q58" s="3">
        <v>22299</v>
      </c>
      <c r="R58" s="218">
        <f t="shared" si="16"/>
        <v>735952</v>
      </c>
      <c r="S58" s="5" t="b">
        <f t="shared" si="22"/>
        <v>1</v>
      </c>
      <c r="T58" s="5"/>
      <c r="U58" s="5"/>
      <c r="V58" s="179">
        <f t="shared" si="25"/>
        <v>165</v>
      </c>
      <c r="W58" s="179">
        <f t="shared" si="25"/>
        <v>68</v>
      </c>
      <c r="X58" s="179">
        <f t="shared" si="25"/>
        <v>-158</v>
      </c>
      <c r="Y58" s="179">
        <f t="shared" si="25"/>
        <v>508</v>
      </c>
      <c r="Z58" s="179">
        <f t="shared" si="25"/>
        <v>345</v>
      </c>
      <c r="AA58" s="179">
        <f t="shared" si="25"/>
        <v>-6153</v>
      </c>
      <c r="AB58" s="179">
        <f t="shared" si="25"/>
        <v>-1783</v>
      </c>
      <c r="AC58" s="179">
        <f t="shared" si="25"/>
        <v>-6</v>
      </c>
      <c r="AD58" s="179">
        <f t="shared" si="25"/>
        <v>-11753</v>
      </c>
      <c r="AE58" s="179">
        <f t="shared" si="25"/>
        <v>6805</v>
      </c>
      <c r="AF58" s="179">
        <f t="shared" si="25"/>
        <v>56</v>
      </c>
      <c r="AG58" s="179">
        <f t="shared" si="25"/>
        <v>3839</v>
      </c>
      <c r="AH58" s="179">
        <f t="shared" si="26"/>
        <v>-119</v>
      </c>
      <c r="AI58" s="179">
        <f t="shared" si="26"/>
        <v>-391</v>
      </c>
      <c r="AJ58" s="179">
        <f t="shared" si="26"/>
        <v>-8133</v>
      </c>
      <c r="AK58" s="182">
        <f>R58+'[3]CBHP Caseload'!S58</f>
        <v>800997</v>
      </c>
      <c r="AL58" s="183">
        <f t="shared" si="24"/>
        <v>662977</v>
      </c>
      <c r="AM58" s="462">
        <v>735952</v>
      </c>
      <c r="AN58" s="178" t="b">
        <f t="shared" si="3"/>
        <v>1</v>
      </c>
    </row>
    <row r="59" spans="1:40" s="180" customFormat="1" hidden="1" x14ac:dyDescent="0.2">
      <c r="A59" s="358">
        <f t="shared" si="18"/>
        <v>1</v>
      </c>
      <c r="B59" s="217">
        <v>41579</v>
      </c>
      <c r="C59" s="3">
        <v>42098</v>
      </c>
      <c r="D59" s="3">
        <v>9748</v>
      </c>
      <c r="E59" s="3">
        <v>64396</v>
      </c>
      <c r="F59" s="3">
        <v>2749</v>
      </c>
      <c r="G59" s="63">
        <v>112290</v>
      </c>
      <c r="H59" s="63">
        <v>41332</v>
      </c>
      <c r="I59" s="63">
        <v>17976</v>
      </c>
      <c r="J59" s="63">
        <v>547</v>
      </c>
      <c r="K59" s="63">
        <v>386326</v>
      </c>
      <c r="L59" s="63">
        <v>18980</v>
      </c>
      <c r="M59" s="3">
        <v>17712</v>
      </c>
      <c r="N59" s="63">
        <v>13740</v>
      </c>
      <c r="O59" s="3">
        <v>1022</v>
      </c>
      <c r="P59" s="3">
        <v>2352</v>
      </c>
      <c r="Q59" s="3">
        <v>22539</v>
      </c>
      <c r="R59" s="218">
        <f t="shared" si="16"/>
        <v>753807</v>
      </c>
      <c r="S59" s="5" t="b">
        <f t="shared" si="22"/>
        <v>1</v>
      </c>
      <c r="T59" s="5"/>
      <c r="U59" s="5"/>
      <c r="V59" s="179">
        <f t="shared" si="25"/>
        <v>237</v>
      </c>
      <c r="W59" s="179">
        <f t="shared" si="25"/>
        <v>39</v>
      </c>
      <c r="X59" s="179">
        <f t="shared" si="25"/>
        <v>245</v>
      </c>
      <c r="Y59" s="179">
        <f t="shared" si="25"/>
        <v>549</v>
      </c>
      <c r="Z59" s="179">
        <f t="shared" si="25"/>
        <v>1016</v>
      </c>
      <c r="AA59" s="179">
        <f t="shared" si="25"/>
        <v>4238</v>
      </c>
      <c r="AB59" s="179">
        <f t="shared" si="25"/>
        <v>-1192</v>
      </c>
      <c r="AC59" s="179">
        <f t="shared" si="25"/>
        <v>-92</v>
      </c>
      <c r="AD59" s="179">
        <f t="shared" si="25"/>
        <v>3617</v>
      </c>
      <c r="AE59" s="179">
        <f t="shared" si="25"/>
        <v>7827</v>
      </c>
      <c r="AF59" s="179">
        <f t="shared" si="25"/>
        <v>37</v>
      </c>
      <c r="AG59" s="179">
        <f t="shared" si="25"/>
        <v>661</v>
      </c>
      <c r="AH59" s="179">
        <f t="shared" si="26"/>
        <v>-40</v>
      </c>
      <c r="AI59" s="179">
        <f t="shared" si="26"/>
        <v>240</v>
      </c>
      <c r="AJ59" s="179">
        <f t="shared" si="26"/>
        <v>17855</v>
      </c>
      <c r="AK59" s="182">
        <f>R59+'[3]CBHP Caseload'!S59</f>
        <v>814028</v>
      </c>
      <c r="AL59" s="183">
        <f t="shared" si="24"/>
        <v>675247</v>
      </c>
      <c r="AM59" s="462">
        <v>753807</v>
      </c>
      <c r="AN59" s="178" t="b">
        <f t="shared" si="3"/>
        <v>1</v>
      </c>
    </row>
    <row r="60" spans="1:40" s="180" customFormat="1" hidden="1" x14ac:dyDescent="0.2">
      <c r="A60" s="358">
        <f t="shared" si="18"/>
        <v>1</v>
      </c>
      <c r="B60" s="217">
        <v>41609</v>
      </c>
      <c r="C60" s="3">
        <v>42265</v>
      </c>
      <c r="D60" s="3">
        <v>9797</v>
      </c>
      <c r="E60" s="3">
        <v>64478</v>
      </c>
      <c r="F60" s="3">
        <v>2690</v>
      </c>
      <c r="G60" s="63">
        <v>119836</v>
      </c>
      <c r="H60" s="63">
        <v>40228</v>
      </c>
      <c r="I60" s="63">
        <v>17092</v>
      </c>
      <c r="J60" s="63">
        <v>540</v>
      </c>
      <c r="K60" s="63">
        <v>389900</v>
      </c>
      <c r="L60" s="63">
        <v>28057</v>
      </c>
      <c r="M60" s="3">
        <v>17793</v>
      </c>
      <c r="N60" s="63">
        <v>14140</v>
      </c>
      <c r="O60" s="3">
        <v>1293</v>
      </c>
      <c r="P60" s="3">
        <v>2311</v>
      </c>
      <c r="Q60" s="3">
        <v>22534</v>
      </c>
      <c r="R60" s="218">
        <f t="shared" si="16"/>
        <v>772954</v>
      </c>
      <c r="S60" s="5" t="b">
        <f t="shared" si="22"/>
        <v>1</v>
      </c>
      <c r="T60" s="5"/>
      <c r="U60" s="5"/>
      <c r="V60" s="179">
        <f t="shared" si="25"/>
        <v>167</v>
      </c>
      <c r="W60" s="179">
        <f t="shared" si="25"/>
        <v>49</v>
      </c>
      <c r="X60" s="179">
        <f t="shared" si="25"/>
        <v>82</v>
      </c>
      <c r="Y60" s="179">
        <f t="shared" si="25"/>
        <v>-59</v>
      </c>
      <c r="Z60" s="179">
        <f t="shared" si="25"/>
        <v>7546</v>
      </c>
      <c r="AA60" s="179">
        <f t="shared" si="25"/>
        <v>-1104</v>
      </c>
      <c r="AB60" s="179">
        <f t="shared" si="25"/>
        <v>-884</v>
      </c>
      <c r="AC60" s="179">
        <f t="shared" si="25"/>
        <v>-7</v>
      </c>
      <c r="AD60" s="179">
        <f t="shared" si="25"/>
        <v>3574</v>
      </c>
      <c r="AE60" s="179">
        <f t="shared" si="25"/>
        <v>9077</v>
      </c>
      <c r="AF60" s="179">
        <f t="shared" si="25"/>
        <v>81</v>
      </c>
      <c r="AG60" s="179">
        <f t="shared" si="25"/>
        <v>400</v>
      </c>
      <c r="AH60" s="179">
        <f t="shared" si="26"/>
        <v>-41</v>
      </c>
      <c r="AI60" s="179">
        <f t="shared" si="26"/>
        <v>-5</v>
      </c>
      <c r="AJ60" s="179">
        <f t="shared" si="26"/>
        <v>19147</v>
      </c>
      <c r="AK60" s="182">
        <f>R60+'[3]CBHP Caseload'!S60</f>
        <v>834374</v>
      </c>
      <c r="AL60" s="183">
        <f t="shared" si="24"/>
        <v>695300</v>
      </c>
      <c r="AM60" s="462">
        <v>772954</v>
      </c>
      <c r="AN60" s="178" t="b">
        <f t="shared" si="3"/>
        <v>1</v>
      </c>
    </row>
    <row r="61" spans="1:40" s="180" customFormat="1" hidden="1" x14ac:dyDescent="0.2">
      <c r="A61" s="358">
        <f t="shared" si="18"/>
        <v>1</v>
      </c>
      <c r="B61" s="217">
        <v>41640</v>
      </c>
      <c r="C61" s="3">
        <v>41861</v>
      </c>
      <c r="D61" s="3">
        <v>9838</v>
      </c>
      <c r="E61" s="3">
        <v>64838</v>
      </c>
      <c r="F61" s="3">
        <v>2217</v>
      </c>
      <c r="G61" s="63">
        <v>122548</v>
      </c>
      <c r="H61" s="63">
        <v>40659</v>
      </c>
      <c r="I61" s="63">
        <v>120068</v>
      </c>
      <c r="J61" s="63">
        <v>543</v>
      </c>
      <c r="K61" s="63">
        <v>398421</v>
      </c>
      <c r="L61" s="63">
        <v>29967</v>
      </c>
      <c r="M61" s="3">
        <v>17684</v>
      </c>
      <c r="N61" s="63">
        <v>14582</v>
      </c>
      <c r="O61" s="3">
        <v>1390</v>
      </c>
      <c r="P61" s="3">
        <v>2309</v>
      </c>
      <c r="Q61" s="3">
        <v>22740</v>
      </c>
      <c r="R61" s="218">
        <f t="shared" si="16"/>
        <v>889665</v>
      </c>
      <c r="S61" s="5" t="b">
        <f t="shared" si="22"/>
        <v>1</v>
      </c>
      <c r="T61" s="5"/>
      <c r="U61" s="5"/>
      <c r="V61" s="179">
        <f t="shared" si="25"/>
        <v>-404</v>
      </c>
      <c r="W61" s="179">
        <f t="shared" si="25"/>
        <v>41</v>
      </c>
      <c r="X61" s="179">
        <f t="shared" si="25"/>
        <v>360</v>
      </c>
      <c r="Y61" s="179">
        <f t="shared" si="25"/>
        <v>-473</v>
      </c>
      <c r="Z61" s="179">
        <f t="shared" si="25"/>
        <v>2712</v>
      </c>
      <c r="AA61" s="179">
        <f t="shared" si="25"/>
        <v>431</v>
      </c>
      <c r="AB61" s="179">
        <f t="shared" si="25"/>
        <v>102976</v>
      </c>
      <c r="AC61" s="179">
        <f t="shared" si="25"/>
        <v>3</v>
      </c>
      <c r="AD61" s="179">
        <f t="shared" si="25"/>
        <v>8521</v>
      </c>
      <c r="AE61" s="179">
        <f t="shared" si="25"/>
        <v>1910</v>
      </c>
      <c r="AF61" s="179">
        <f t="shared" si="25"/>
        <v>-109</v>
      </c>
      <c r="AG61" s="179">
        <f t="shared" si="25"/>
        <v>442</v>
      </c>
      <c r="AH61" s="179">
        <f t="shared" si="26"/>
        <v>-2</v>
      </c>
      <c r="AI61" s="179">
        <f t="shared" si="26"/>
        <v>206</v>
      </c>
      <c r="AJ61" s="179">
        <f t="shared" si="26"/>
        <v>116711</v>
      </c>
      <c r="AK61" s="182">
        <f>R61+'[3]CBHP Caseload'!S61</f>
        <v>950784</v>
      </c>
      <c r="AL61" s="183">
        <f t="shared" si="24"/>
        <v>811507</v>
      </c>
      <c r="AM61" s="462">
        <v>889665</v>
      </c>
      <c r="AN61" s="178" t="b">
        <f t="shared" si="3"/>
        <v>1</v>
      </c>
    </row>
    <row r="62" spans="1:40" s="180" customFormat="1" hidden="1" x14ac:dyDescent="0.2">
      <c r="A62" s="358">
        <f t="shared" si="18"/>
        <v>1</v>
      </c>
      <c r="B62" s="217">
        <v>41671</v>
      </c>
      <c r="C62" s="3">
        <v>42003</v>
      </c>
      <c r="D62" s="3">
        <v>9919</v>
      </c>
      <c r="E62" s="3">
        <v>64798</v>
      </c>
      <c r="F62" s="3">
        <v>3146</v>
      </c>
      <c r="G62" s="214">
        <v>129759</v>
      </c>
      <c r="H62" s="214">
        <v>51272</v>
      </c>
      <c r="I62" s="63">
        <v>125369</v>
      </c>
      <c r="J62" s="63">
        <v>527</v>
      </c>
      <c r="K62" s="63">
        <v>403888</v>
      </c>
      <c r="L62" s="63">
        <v>33263</v>
      </c>
      <c r="M62" s="3">
        <v>17744</v>
      </c>
      <c r="N62" s="63">
        <v>14691</v>
      </c>
      <c r="O62" s="3">
        <v>1471</v>
      </c>
      <c r="P62" s="3">
        <v>2374</v>
      </c>
      <c r="Q62" s="3">
        <v>23302</v>
      </c>
      <c r="R62" s="218">
        <f t="shared" si="16"/>
        <v>923526</v>
      </c>
      <c r="S62" s="5" t="b">
        <f t="shared" si="22"/>
        <v>1</v>
      </c>
      <c r="T62" s="5"/>
      <c r="U62" s="5"/>
      <c r="V62" s="179">
        <f t="shared" si="25"/>
        <v>142</v>
      </c>
      <c r="W62" s="179">
        <f t="shared" si="25"/>
        <v>81</v>
      </c>
      <c r="X62" s="179">
        <f t="shared" si="25"/>
        <v>-40</v>
      </c>
      <c r="Y62" s="179">
        <f t="shared" si="25"/>
        <v>929</v>
      </c>
      <c r="Z62" s="179">
        <f t="shared" si="25"/>
        <v>7211</v>
      </c>
      <c r="AA62" s="179">
        <f t="shared" si="25"/>
        <v>10613</v>
      </c>
      <c r="AB62" s="179">
        <f t="shared" si="25"/>
        <v>5301</v>
      </c>
      <c r="AC62" s="179">
        <f t="shared" si="25"/>
        <v>-16</v>
      </c>
      <c r="AD62" s="179">
        <f t="shared" si="25"/>
        <v>5467</v>
      </c>
      <c r="AE62" s="179">
        <f t="shared" si="25"/>
        <v>3296</v>
      </c>
      <c r="AF62" s="179">
        <f t="shared" si="25"/>
        <v>60</v>
      </c>
      <c r="AG62" s="179">
        <f t="shared" si="25"/>
        <v>109</v>
      </c>
      <c r="AH62" s="179">
        <f t="shared" si="26"/>
        <v>65</v>
      </c>
      <c r="AI62" s="179">
        <f t="shared" si="26"/>
        <v>562</v>
      </c>
      <c r="AJ62" s="179">
        <f>R62-R61</f>
        <v>33861</v>
      </c>
      <c r="AK62" s="182">
        <f>R62+'[3]CBHP Caseload'!S62</f>
        <v>980932</v>
      </c>
      <c r="AL62" s="183">
        <f t="shared" si="24"/>
        <v>840910</v>
      </c>
      <c r="AM62" s="462">
        <v>923526</v>
      </c>
      <c r="AN62" s="178" t="b">
        <f t="shared" si="3"/>
        <v>1</v>
      </c>
    </row>
    <row r="63" spans="1:40" s="180" customFormat="1" hidden="1" x14ac:dyDescent="0.2">
      <c r="A63" s="358">
        <f t="shared" si="18"/>
        <v>1</v>
      </c>
      <c r="B63" s="217">
        <v>41699</v>
      </c>
      <c r="C63" s="3">
        <v>42145</v>
      </c>
      <c r="D63" s="3">
        <v>10027</v>
      </c>
      <c r="E63" s="3">
        <v>64312</v>
      </c>
      <c r="F63" s="3">
        <v>3188</v>
      </c>
      <c r="G63" s="214">
        <v>138165</v>
      </c>
      <c r="H63" s="214">
        <v>53923</v>
      </c>
      <c r="I63" s="63">
        <v>157246</v>
      </c>
      <c r="J63" s="63">
        <v>498</v>
      </c>
      <c r="K63" s="63">
        <v>408290</v>
      </c>
      <c r="L63" s="63">
        <v>38398</v>
      </c>
      <c r="M63" s="3">
        <v>17704</v>
      </c>
      <c r="N63" s="63">
        <v>14991</v>
      </c>
      <c r="O63" s="3">
        <v>1596</v>
      </c>
      <c r="P63" s="3">
        <v>2426</v>
      </c>
      <c r="Q63" s="3">
        <v>24063</v>
      </c>
      <c r="R63" s="218">
        <f t="shared" si="16"/>
        <v>976972</v>
      </c>
      <c r="S63" s="5" t="b">
        <f t="shared" si="22"/>
        <v>1</v>
      </c>
      <c r="T63" s="5"/>
      <c r="U63" s="5"/>
      <c r="V63" s="179"/>
      <c r="W63" s="179"/>
      <c r="X63" s="187"/>
      <c r="Y63" s="179"/>
      <c r="Z63" s="179"/>
      <c r="AA63" s="179"/>
      <c r="AB63" s="179"/>
      <c r="AC63" s="179">
        <f>J63-J62</f>
        <v>-29</v>
      </c>
      <c r="AD63" s="179"/>
      <c r="AE63" s="179"/>
      <c r="AF63" s="179"/>
      <c r="AG63" s="179"/>
      <c r="AH63" s="179"/>
      <c r="AI63" s="179"/>
      <c r="AJ63" s="179">
        <f>R63-R62</f>
        <v>53446</v>
      </c>
      <c r="AK63" s="182"/>
      <c r="AL63" s="183"/>
      <c r="AM63" s="462">
        <v>976972</v>
      </c>
      <c r="AN63" s="178" t="b">
        <f t="shared" si="3"/>
        <v>1</v>
      </c>
    </row>
    <row r="64" spans="1:40" s="180" customFormat="1" hidden="1" x14ac:dyDescent="0.2">
      <c r="A64" s="358">
        <f t="shared" si="18"/>
        <v>1</v>
      </c>
      <c r="B64" s="217">
        <v>41730</v>
      </c>
      <c r="C64" s="3">
        <v>41762</v>
      </c>
      <c r="D64" s="3">
        <v>10129</v>
      </c>
      <c r="E64" s="3">
        <v>64148</v>
      </c>
      <c r="F64" s="3">
        <v>3288</v>
      </c>
      <c r="G64" s="214">
        <v>144089</v>
      </c>
      <c r="H64" s="214">
        <v>55524</v>
      </c>
      <c r="I64" s="63">
        <v>171950</v>
      </c>
      <c r="J64" s="63">
        <v>492</v>
      </c>
      <c r="K64" s="63">
        <v>415666</v>
      </c>
      <c r="L64" s="63">
        <v>39128</v>
      </c>
      <c r="M64" s="3">
        <v>19526</v>
      </c>
      <c r="N64" s="63">
        <v>15093</v>
      </c>
      <c r="O64" s="3">
        <v>1559</v>
      </c>
      <c r="P64" s="3">
        <v>2467</v>
      </c>
      <c r="Q64" s="3">
        <v>24662</v>
      </c>
      <c r="R64" s="218">
        <f t="shared" si="16"/>
        <v>1009483</v>
      </c>
      <c r="S64" s="5" t="b">
        <f>R64=1009483</f>
        <v>1</v>
      </c>
      <c r="T64" s="5"/>
      <c r="U64" s="5"/>
      <c r="V64" s="179"/>
      <c r="W64" s="179"/>
      <c r="X64" s="179"/>
      <c r="Y64" s="179"/>
      <c r="Z64" s="179"/>
      <c r="AA64" s="179"/>
      <c r="AB64" s="179"/>
      <c r="AC64" s="179">
        <f>J64-J63</f>
        <v>-6</v>
      </c>
      <c r="AD64" s="179"/>
      <c r="AE64" s="179"/>
      <c r="AF64" s="179"/>
      <c r="AG64" s="179"/>
      <c r="AH64" s="179"/>
      <c r="AI64" s="179"/>
      <c r="AJ64" s="179">
        <f>R64-R63</f>
        <v>32511</v>
      </c>
      <c r="AK64" s="182"/>
      <c r="AL64" s="183"/>
      <c r="AM64" s="462">
        <v>1009483</v>
      </c>
      <c r="AN64" s="178" t="b">
        <f t="shared" si="3"/>
        <v>1</v>
      </c>
    </row>
    <row r="65" spans="1:40" s="180" customFormat="1" hidden="1" x14ac:dyDescent="0.2">
      <c r="A65" s="358">
        <f t="shared" si="18"/>
        <v>1</v>
      </c>
      <c r="B65" s="217">
        <v>41760</v>
      </c>
      <c r="C65" s="3">
        <v>41991</v>
      </c>
      <c r="D65" s="3">
        <v>10162</v>
      </c>
      <c r="E65" s="3">
        <v>64492</v>
      </c>
      <c r="F65" s="3">
        <v>3257</v>
      </c>
      <c r="G65" s="214">
        <v>145211</v>
      </c>
      <c r="H65" s="214">
        <v>54497</v>
      </c>
      <c r="I65" s="63">
        <v>176827</v>
      </c>
      <c r="J65" s="63">
        <v>488</v>
      </c>
      <c r="K65" s="63">
        <v>420786</v>
      </c>
      <c r="L65" s="63">
        <v>39624</v>
      </c>
      <c r="M65" s="3">
        <v>20168</v>
      </c>
      <c r="N65" s="63">
        <v>15086</v>
      </c>
      <c r="O65" s="3">
        <v>1549</v>
      </c>
      <c r="P65" s="3">
        <v>2487</v>
      </c>
      <c r="Q65" s="3">
        <v>25120</v>
      </c>
      <c r="R65" s="218">
        <f t="shared" si="16"/>
        <v>1021745</v>
      </c>
      <c r="S65" s="5" t="b">
        <f t="shared" si="22"/>
        <v>1</v>
      </c>
      <c r="T65" s="5"/>
      <c r="U65" s="5"/>
      <c r="V65" s="179"/>
      <c r="W65" s="179"/>
      <c r="X65" s="179"/>
      <c r="Y65" s="179"/>
      <c r="Z65" s="179"/>
      <c r="AA65" s="179"/>
      <c r="AB65" s="179"/>
      <c r="AC65" s="179">
        <f>J65-J64</f>
        <v>-4</v>
      </c>
      <c r="AD65" s="179"/>
      <c r="AE65" s="179"/>
      <c r="AF65" s="179"/>
      <c r="AG65" s="179"/>
      <c r="AH65" s="179"/>
      <c r="AI65" s="179"/>
      <c r="AJ65" s="179">
        <f>R65-R64</f>
        <v>12262</v>
      </c>
      <c r="AK65" s="182"/>
      <c r="AL65" s="183"/>
      <c r="AM65" s="462">
        <v>1021745</v>
      </c>
      <c r="AN65" s="178" t="b">
        <f t="shared" si="3"/>
        <v>1</v>
      </c>
    </row>
    <row r="66" spans="1:40" s="180" customFormat="1" hidden="1" x14ac:dyDescent="0.2">
      <c r="A66" s="358">
        <f t="shared" si="18"/>
        <v>1</v>
      </c>
      <c r="B66" s="217">
        <v>41791</v>
      </c>
      <c r="C66" s="3">
        <v>41564</v>
      </c>
      <c r="D66" s="3">
        <v>10263</v>
      </c>
      <c r="E66" s="3">
        <v>64968</v>
      </c>
      <c r="F66" s="3">
        <v>3186</v>
      </c>
      <c r="G66" s="214">
        <v>149545</v>
      </c>
      <c r="H66" s="214">
        <v>58549</v>
      </c>
      <c r="I66" s="63">
        <v>186802</v>
      </c>
      <c r="J66" s="63">
        <v>477</v>
      </c>
      <c r="K66" s="63">
        <v>425952</v>
      </c>
      <c r="L66" s="63">
        <v>40754</v>
      </c>
      <c r="M66" s="3">
        <v>20268</v>
      </c>
      <c r="N66" s="63">
        <v>15007</v>
      </c>
      <c r="O66" s="3">
        <v>1634</v>
      </c>
      <c r="P66" s="3">
        <v>2821</v>
      </c>
      <c r="Q66" s="3">
        <v>25676</v>
      </c>
      <c r="R66" s="218">
        <f t="shared" si="16"/>
        <v>1047466</v>
      </c>
      <c r="S66" s="5" t="b">
        <f t="shared" si="22"/>
        <v>1</v>
      </c>
      <c r="T66" s="5"/>
      <c r="U66" s="5"/>
      <c r="V66" s="179"/>
      <c r="W66" s="179"/>
      <c r="X66" s="179"/>
      <c r="Y66" s="179"/>
      <c r="Z66" s="179"/>
      <c r="AA66" s="179"/>
      <c r="AB66" s="179"/>
      <c r="AC66" s="179"/>
      <c r="AD66" s="179"/>
      <c r="AE66" s="179"/>
      <c r="AF66" s="179"/>
      <c r="AG66" s="179"/>
      <c r="AH66" s="179"/>
      <c r="AI66" s="179"/>
      <c r="AJ66" s="179">
        <f>R66-R65</f>
        <v>25721</v>
      </c>
      <c r="AK66" s="182"/>
      <c r="AL66" s="183"/>
      <c r="AM66" s="462">
        <v>1047466</v>
      </c>
      <c r="AN66" s="178" t="b">
        <f t="shared" si="3"/>
        <v>1</v>
      </c>
    </row>
    <row r="67" spans="1:40" s="180" customFormat="1" hidden="1" x14ac:dyDescent="0.2">
      <c r="A67" s="358">
        <f t="shared" si="18"/>
        <v>1</v>
      </c>
      <c r="B67" s="221" t="s">
        <v>149</v>
      </c>
      <c r="C67" s="7">
        <f>ROUND(AVERAGE(C55:C66),0)</f>
        <v>41836</v>
      </c>
      <c r="D67" s="7">
        <f t="shared" ref="D67:Q67" si="27">ROUND(AVERAGE(D55:D66),0)</f>
        <v>9853</v>
      </c>
      <c r="E67" s="7">
        <f t="shared" si="27"/>
        <v>64424</v>
      </c>
      <c r="F67" s="7">
        <f t="shared" si="27"/>
        <v>2560</v>
      </c>
      <c r="G67" s="7">
        <f t="shared" si="27"/>
        <v>124680</v>
      </c>
      <c r="H67" s="7">
        <f t="shared" si="27"/>
        <v>47082</v>
      </c>
      <c r="I67" s="7">
        <f>ROUND(AVERAGE(I55:I66),0)</f>
        <v>87243</v>
      </c>
      <c r="J67" s="7">
        <f>ROUND(AVERAGE(J55:J66),0)</f>
        <v>559</v>
      </c>
      <c r="K67" s="7">
        <f>ROUND(AVERAGE(K55:K66),0)</f>
        <v>399032</v>
      </c>
      <c r="L67" s="7">
        <f t="shared" si="27"/>
        <v>25345</v>
      </c>
      <c r="M67" s="7">
        <f t="shared" si="27"/>
        <v>18267</v>
      </c>
      <c r="N67" s="7">
        <f t="shared" si="27"/>
        <v>13160</v>
      </c>
      <c r="O67" s="7">
        <f t="shared" si="27"/>
        <v>1057</v>
      </c>
      <c r="P67" s="7">
        <f t="shared" si="27"/>
        <v>2481</v>
      </c>
      <c r="Q67" s="7">
        <f t="shared" si="27"/>
        <v>23378</v>
      </c>
      <c r="R67" s="222">
        <f t="shared" si="16"/>
        <v>860957</v>
      </c>
      <c r="S67" s="5" t="b">
        <f>R67=SUM(C67:Q67)</f>
        <v>1</v>
      </c>
      <c r="T67" s="5"/>
      <c r="U67" s="5"/>
      <c r="V67" s="179"/>
      <c r="W67" s="179"/>
      <c r="X67" s="179"/>
      <c r="Y67" s="179"/>
      <c r="Z67" s="179"/>
      <c r="AA67" s="179"/>
      <c r="AB67" s="179"/>
      <c r="AC67" s="179"/>
      <c r="AD67" s="179"/>
      <c r="AE67" s="179"/>
      <c r="AF67" s="179"/>
      <c r="AG67" s="179"/>
      <c r="AH67" s="179"/>
      <c r="AI67" s="179"/>
      <c r="AJ67" s="179">
        <f>ROUND(AVERAGE(AJ55:AJ66),0)</f>
        <v>26533</v>
      </c>
      <c r="AK67" s="182"/>
      <c r="AL67" s="183"/>
      <c r="AM67" s="462">
        <v>858697</v>
      </c>
      <c r="AN67" s="178" t="b">
        <f t="shared" si="3"/>
        <v>0</v>
      </c>
    </row>
    <row r="68" spans="1:40" s="180" customFormat="1" hidden="1" x14ac:dyDescent="0.2">
      <c r="A68" s="358">
        <f t="shared" si="18"/>
        <v>1</v>
      </c>
      <c r="B68" s="223">
        <v>41821</v>
      </c>
      <c r="C68" s="212">
        <f>'Medicaid Caseload'!C68</f>
        <v>41551</v>
      </c>
      <c r="D68" s="212">
        <f>'Medicaid Caseload'!D68</f>
        <v>10346</v>
      </c>
      <c r="E68" s="212">
        <f>'Medicaid Caseload'!E68</f>
        <v>65459</v>
      </c>
      <c r="F68" s="212">
        <f>'Medicaid Caseload'!F68</f>
        <v>3065</v>
      </c>
      <c r="G68" s="212">
        <f>'Medicaid Caseload'!G68</f>
        <v>153837</v>
      </c>
      <c r="H68" s="212">
        <f>'Medicaid Caseload'!H68</f>
        <v>60981</v>
      </c>
      <c r="I68" s="212">
        <f>'Medicaid Caseload'!I68</f>
        <v>194454</v>
      </c>
      <c r="J68" s="212">
        <f>'Medicaid Caseload'!J68</f>
        <v>472</v>
      </c>
      <c r="K68" s="213">
        <f>'Medicaid Caseload'!K68</f>
        <v>431203</v>
      </c>
      <c r="L68" s="213">
        <f>'Medicaid Caseload'!L68</f>
        <v>41550</v>
      </c>
      <c r="M68" s="212">
        <f>'Medicaid Caseload'!M68</f>
        <v>20190</v>
      </c>
      <c r="N68" s="212">
        <f>'Medicaid Caseload'!N68</f>
        <v>15038</v>
      </c>
      <c r="O68" s="212">
        <f>'Medicaid Caseload'!O68</f>
        <v>1672</v>
      </c>
      <c r="P68" s="212">
        <f>'Medicaid Caseload'!P68</f>
        <v>2551</v>
      </c>
      <c r="Q68" s="212">
        <f>'Medicaid Caseload'!Q68</f>
        <v>25963</v>
      </c>
      <c r="R68" s="224">
        <f>'Medicaid Caseload'!R68</f>
        <v>1068332</v>
      </c>
      <c r="S68" s="5" t="b">
        <f>R68=SUM(C68:Q68)</f>
        <v>1</v>
      </c>
      <c r="T68" s="5"/>
      <c r="U68" s="5"/>
      <c r="V68" s="179"/>
      <c r="W68" s="179"/>
      <c r="X68" s="179"/>
      <c r="Y68" s="179"/>
      <c r="Z68" s="179"/>
      <c r="AA68" s="179"/>
      <c r="AB68" s="179"/>
      <c r="AC68" s="179"/>
      <c r="AD68" s="179"/>
      <c r="AE68" s="179"/>
      <c r="AF68" s="179"/>
      <c r="AG68" s="179"/>
      <c r="AH68" s="179"/>
      <c r="AI68" s="179"/>
      <c r="AJ68" s="179"/>
      <c r="AK68" s="179">
        <f>R68-R66</f>
        <v>20866</v>
      </c>
      <c r="AL68" s="183"/>
      <c r="AM68" s="462">
        <f>AVERAGE(AM55:AM66)+1</f>
        <v>860957</v>
      </c>
      <c r="AN68" s="463" t="b">
        <f>R67=AM68</f>
        <v>1</v>
      </c>
    </row>
    <row r="69" spans="1:40" s="180" customFormat="1" hidden="1" x14ac:dyDescent="0.2">
      <c r="A69" s="358">
        <f t="shared" si="18"/>
        <v>1</v>
      </c>
      <c r="B69" s="217">
        <v>41852</v>
      </c>
      <c r="C69" s="3">
        <f>'Medicaid Caseload'!C69</f>
        <v>42513</v>
      </c>
      <c r="D69" s="3">
        <f>'Medicaid Caseload'!D69</f>
        <v>10350</v>
      </c>
      <c r="E69" s="3">
        <f>'Medicaid Caseload'!E69</f>
        <v>65785</v>
      </c>
      <c r="F69" s="3">
        <f>'Medicaid Caseload'!F69</f>
        <v>2971</v>
      </c>
      <c r="G69" s="3">
        <f>'Medicaid Caseload'!G69</f>
        <v>156343</v>
      </c>
      <c r="H69" s="3">
        <f>'Medicaid Caseload'!H69</f>
        <v>62711</v>
      </c>
      <c r="I69" s="3">
        <f>'Medicaid Caseload'!I69</f>
        <v>202825</v>
      </c>
      <c r="J69" s="3">
        <f>'Medicaid Caseload'!J69</f>
        <v>463</v>
      </c>
      <c r="K69" s="63">
        <f>'Medicaid Caseload'!K69</f>
        <v>436077</v>
      </c>
      <c r="L69" s="63">
        <f>'Medicaid Caseload'!L69</f>
        <v>42750</v>
      </c>
      <c r="M69" s="3">
        <f>'Medicaid Caseload'!M69</f>
        <v>20213</v>
      </c>
      <c r="N69" s="3">
        <f>'Medicaid Caseload'!N69</f>
        <v>15436</v>
      </c>
      <c r="O69" s="3">
        <f>'Medicaid Caseload'!O69</f>
        <v>1800</v>
      </c>
      <c r="P69" s="3">
        <f>'Medicaid Caseload'!P69</f>
        <v>2494</v>
      </c>
      <c r="Q69" s="3">
        <f>'Medicaid Caseload'!Q69</f>
        <v>26347</v>
      </c>
      <c r="R69" s="218">
        <f>'Medicaid Caseload'!R69</f>
        <v>1089078</v>
      </c>
      <c r="S69" s="5" t="b">
        <f>R69=SUM(C69:Q69)</f>
        <v>1</v>
      </c>
      <c r="T69" s="5"/>
      <c r="U69" s="5"/>
      <c r="V69" s="179"/>
      <c r="W69" s="179"/>
      <c r="X69" s="179"/>
      <c r="Y69" s="179"/>
      <c r="Z69" s="179"/>
      <c r="AA69" s="179"/>
      <c r="AB69" s="179"/>
      <c r="AC69" s="179"/>
      <c r="AD69" s="179"/>
      <c r="AE69" s="179"/>
      <c r="AF69" s="179"/>
      <c r="AG69" s="179"/>
      <c r="AH69" s="179"/>
      <c r="AI69" s="179"/>
      <c r="AJ69" s="179"/>
      <c r="AK69" s="179">
        <f t="shared" ref="AK69:AK86" si="28">R69-R68</f>
        <v>20746</v>
      </c>
      <c r="AL69" s="183"/>
      <c r="AM69" s="463"/>
      <c r="AN69" s="463"/>
    </row>
    <row r="70" spans="1:40" s="180" customFormat="1" hidden="1" x14ac:dyDescent="0.2">
      <c r="A70" s="358">
        <f t="shared" si="18"/>
        <v>1</v>
      </c>
      <c r="B70" s="217">
        <v>41883</v>
      </c>
      <c r="C70" s="3">
        <f>'Medicaid Caseload'!C70</f>
        <v>42643</v>
      </c>
      <c r="D70" s="3">
        <f>'Medicaid Caseload'!D70</f>
        <v>10362</v>
      </c>
      <c r="E70" s="3">
        <f>'Medicaid Caseload'!E70</f>
        <v>66054</v>
      </c>
      <c r="F70" s="3">
        <f>'Medicaid Caseload'!F70</f>
        <v>2925</v>
      </c>
      <c r="G70" s="3">
        <f>'Medicaid Caseload'!G70</f>
        <v>159740</v>
      </c>
      <c r="H70" s="3">
        <f>'Medicaid Caseload'!H70</f>
        <v>63847</v>
      </c>
      <c r="I70" s="3">
        <f>'Medicaid Caseload'!I70</f>
        <v>210970</v>
      </c>
      <c r="J70" s="3">
        <f>'Medicaid Caseload'!J70</f>
        <v>439</v>
      </c>
      <c r="K70" s="63">
        <f>'Medicaid Caseload'!K70</f>
        <v>438991</v>
      </c>
      <c r="L70" s="63">
        <f>'Medicaid Caseload'!L70</f>
        <v>44001</v>
      </c>
      <c r="M70" s="3">
        <f>'Medicaid Caseload'!M70</f>
        <v>20124</v>
      </c>
      <c r="N70" s="3">
        <f>'Medicaid Caseload'!N70</f>
        <v>15386</v>
      </c>
      <c r="O70" s="3">
        <f>'Medicaid Caseload'!O70</f>
        <v>1854</v>
      </c>
      <c r="P70" s="3">
        <f>'Medicaid Caseload'!P70</f>
        <v>2474</v>
      </c>
      <c r="Q70" s="3">
        <f>'Medicaid Caseload'!Q70</f>
        <v>26787</v>
      </c>
      <c r="R70" s="218">
        <f>'Medicaid Caseload'!R70</f>
        <v>1106597</v>
      </c>
      <c r="S70" s="5" t="b">
        <f>R70=SUM(C70:Q70)</f>
        <v>1</v>
      </c>
      <c r="T70" s="5"/>
      <c r="U70" s="5"/>
      <c r="V70" s="179">
        <f>C70-C69</f>
        <v>130</v>
      </c>
      <c r="W70" s="179">
        <f t="shared" ref="W70:AJ82" si="29">D70-D69</f>
        <v>12</v>
      </c>
      <c r="X70" s="179">
        <f t="shared" si="29"/>
        <v>269</v>
      </c>
      <c r="Y70" s="179">
        <f t="shared" si="29"/>
        <v>-46</v>
      </c>
      <c r="Z70" s="179">
        <f t="shared" si="29"/>
        <v>3397</v>
      </c>
      <c r="AA70" s="179">
        <f t="shared" si="29"/>
        <v>1136</v>
      </c>
      <c r="AB70" s="179">
        <f t="shared" si="29"/>
        <v>8145</v>
      </c>
      <c r="AC70" s="179">
        <f t="shared" si="29"/>
        <v>-24</v>
      </c>
      <c r="AD70" s="179">
        <f t="shared" si="29"/>
        <v>2914</v>
      </c>
      <c r="AE70" s="179">
        <f t="shared" si="29"/>
        <v>1251</v>
      </c>
      <c r="AF70" s="179">
        <f t="shared" si="29"/>
        <v>-89</v>
      </c>
      <c r="AG70" s="179">
        <f t="shared" si="29"/>
        <v>-50</v>
      </c>
      <c r="AH70" s="179">
        <f t="shared" si="29"/>
        <v>54</v>
      </c>
      <c r="AI70" s="179">
        <f t="shared" si="29"/>
        <v>-20</v>
      </c>
      <c r="AJ70" s="179">
        <f t="shared" si="29"/>
        <v>440</v>
      </c>
      <c r="AK70" s="179">
        <f t="shared" si="28"/>
        <v>17519</v>
      </c>
      <c r="AL70" s="183"/>
      <c r="AM70" s="463"/>
      <c r="AN70" s="463"/>
    </row>
    <row r="71" spans="1:40" s="180" customFormat="1" hidden="1" x14ac:dyDescent="0.2">
      <c r="A71" s="358">
        <f t="shared" si="18"/>
        <v>1</v>
      </c>
      <c r="B71" s="217">
        <v>41913</v>
      </c>
      <c r="C71" s="3">
        <f>'Medicaid Caseload'!C71</f>
        <v>41763</v>
      </c>
      <c r="D71" s="3">
        <f>'Medicaid Caseload'!D71</f>
        <v>10355</v>
      </c>
      <c r="E71" s="3">
        <f>'Medicaid Caseload'!E71</f>
        <v>66009</v>
      </c>
      <c r="F71" s="3">
        <f>'Medicaid Caseload'!F71</f>
        <v>2927</v>
      </c>
      <c r="G71" s="3">
        <f>'Medicaid Caseload'!G71</f>
        <v>160707</v>
      </c>
      <c r="H71" s="3">
        <f>'Medicaid Caseload'!H71</f>
        <v>65552</v>
      </c>
      <c r="I71" s="3">
        <f>'Medicaid Caseload'!I71</f>
        <v>218403</v>
      </c>
      <c r="J71" s="3">
        <f>'Medicaid Caseload'!J71</f>
        <v>424</v>
      </c>
      <c r="K71" s="63">
        <f>'Medicaid Caseload'!K71</f>
        <v>442075</v>
      </c>
      <c r="L71" s="63">
        <f>'Medicaid Caseload'!L71</f>
        <v>45249</v>
      </c>
      <c r="M71" s="3">
        <f>'Medicaid Caseload'!M71</f>
        <v>20187</v>
      </c>
      <c r="N71" s="3">
        <f>'Medicaid Caseload'!N71</f>
        <v>14938</v>
      </c>
      <c r="O71" s="3">
        <f>'Medicaid Caseload'!O71</f>
        <v>1769</v>
      </c>
      <c r="P71" s="3">
        <f>'Medicaid Caseload'!P71</f>
        <v>2533</v>
      </c>
      <c r="Q71" s="3">
        <f>'Medicaid Caseload'!Q71</f>
        <v>27229</v>
      </c>
      <c r="R71" s="218">
        <f>'Medicaid Caseload'!R71</f>
        <v>1120120</v>
      </c>
      <c r="S71" s="5" t="b">
        <f>R71=1120120</f>
        <v>1</v>
      </c>
      <c r="T71" s="5"/>
      <c r="U71" s="5"/>
      <c r="V71" s="179">
        <f t="shared" ref="V71:V82" si="30">C71-C70</f>
        <v>-880</v>
      </c>
      <c r="W71" s="179">
        <f t="shared" si="29"/>
        <v>-7</v>
      </c>
      <c r="X71" s="179">
        <f t="shared" si="29"/>
        <v>-45</v>
      </c>
      <c r="Y71" s="179">
        <f t="shared" si="29"/>
        <v>2</v>
      </c>
      <c r="Z71" s="179">
        <f t="shared" si="29"/>
        <v>967</v>
      </c>
      <c r="AA71" s="179">
        <f t="shared" si="29"/>
        <v>1705</v>
      </c>
      <c r="AB71" s="179">
        <f t="shared" si="29"/>
        <v>7433</v>
      </c>
      <c r="AC71" s="179">
        <f t="shared" si="29"/>
        <v>-15</v>
      </c>
      <c r="AD71" s="179">
        <f t="shared" si="29"/>
        <v>3084</v>
      </c>
      <c r="AE71" s="179">
        <f t="shared" si="29"/>
        <v>1248</v>
      </c>
      <c r="AF71" s="179">
        <f t="shared" si="29"/>
        <v>63</v>
      </c>
      <c r="AG71" s="179">
        <f t="shared" si="29"/>
        <v>-448</v>
      </c>
      <c r="AH71" s="179">
        <f t="shared" si="29"/>
        <v>-85</v>
      </c>
      <c r="AI71" s="179">
        <f t="shared" si="29"/>
        <v>59</v>
      </c>
      <c r="AJ71" s="179">
        <f t="shared" si="29"/>
        <v>442</v>
      </c>
      <c r="AK71" s="179">
        <f t="shared" si="28"/>
        <v>13523</v>
      </c>
      <c r="AL71" s="183"/>
      <c r="AM71" s="463"/>
      <c r="AN71" s="463"/>
    </row>
    <row r="72" spans="1:40" s="180" customFormat="1" hidden="1" x14ac:dyDescent="0.2">
      <c r="A72" s="358">
        <f t="shared" si="18"/>
        <v>1</v>
      </c>
      <c r="B72" s="217">
        <v>41944</v>
      </c>
      <c r="C72" s="3">
        <f>'Medicaid Caseload'!C72</f>
        <v>41918</v>
      </c>
      <c r="D72" s="3">
        <f>'Medicaid Caseload'!D72</f>
        <v>10341</v>
      </c>
      <c r="E72" s="3">
        <f>'Medicaid Caseload'!E72</f>
        <v>66343</v>
      </c>
      <c r="F72" s="3">
        <f>'Medicaid Caseload'!F72</f>
        <v>3023</v>
      </c>
      <c r="G72" s="3">
        <f>'Medicaid Caseload'!G72</f>
        <v>158375</v>
      </c>
      <c r="H72" s="3">
        <f>'Medicaid Caseload'!H72</f>
        <v>66811</v>
      </c>
      <c r="I72" s="3">
        <f>'Medicaid Caseload'!I72</f>
        <v>222465</v>
      </c>
      <c r="J72" s="3">
        <f>'Medicaid Caseload'!J72</f>
        <v>425</v>
      </c>
      <c r="K72" s="63">
        <f>'Medicaid Caseload'!K72</f>
        <v>442141</v>
      </c>
      <c r="L72" s="63">
        <f>'Medicaid Caseload'!L72</f>
        <v>46654</v>
      </c>
      <c r="M72" s="3">
        <f>'Medicaid Caseload'!M72</f>
        <v>20140</v>
      </c>
      <c r="N72" s="3">
        <f>'Medicaid Caseload'!N72</f>
        <v>14691</v>
      </c>
      <c r="O72" s="3">
        <f>'Medicaid Caseload'!O72</f>
        <v>1733</v>
      </c>
      <c r="P72" s="3">
        <f>'Medicaid Caseload'!P72</f>
        <v>2444</v>
      </c>
      <c r="Q72" s="3">
        <f>'Medicaid Caseload'!Q72</f>
        <v>27601</v>
      </c>
      <c r="R72" s="218">
        <f>'Medicaid Caseload'!R72</f>
        <v>1125105</v>
      </c>
      <c r="S72" s="5" t="b">
        <f>R72=1125105</f>
        <v>1</v>
      </c>
      <c r="T72" s="5"/>
      <c r="U72" s="5"/>
      <c r="V72" s="179">
        <f t="shared" si="30"/>
        <v>155</v>
      </c>
      <c r="W72" s="179">
        <f t="shared" si="29"/>
        <v>-14</v>
      </c>
      <c r="X72" s="179">
        <f t="shared" si="29"/>
        <v>334</v>
      </c>
      <c r="Y72" s="179">
        <f t="shared" si="29"/>
        <v>96</v>
      </c>
      <c r="Z72" s="179">
        <f t="shared" si="29"/>
        <v>-2332</v>
      </c>
      <c r="AA72" s="179">
        <f t="shared" si="29"/>
        <v>1259</v>
      </c>
      <c r="AB72" s="179">
        <f t="shared" si="29"/>
        <v>4062</v>
      </c>
      <c r="AC72" s="179">
        <f t="shared" si="29"/>
        <v>1</v>
      </c>
      <c r="AD72" s="179">
        <f t="shared" si="29"/>
        <v>66</v>
      </c>
      <c r="AE72" s="179">
        <f t="shared" si="29"/>
        <v>1405</v>
      </c>
      <c r="AF72" s="179">
        <f t="shared" si="29"/>
        <v>-47</v>
      </c>
      <c r="AG72" s="179">
        <f t="shared" si="29"/>
        <v>-247</v>
      </c>
      <c r="AH72" s="179">
        <f t="shared" si="29"/>
        <v>-36</v>
      </c>
      <c r="AI72" s="179">
        <f t="shared" si="29"/>
        <v>-89</v>
      </c>
      <c r="AJ72" s="179">
        <f t="shared" si="29"/>
        <v>372</v>
      </c>
      <c r="AK72" s="179">
        <f t="shared" si="28"/>
        <v>4985</v>
      </c>
      <c r="AL72" s="183"/>
      <c r="AM72" s="463"/>
      <c r="AN72" s="463"/>
    </row>
    <row r="73" spans="1:40" s="180" customFormat="1" hidden="1" x14ac:dyDescent="0.2">
      <c r="A73" s="358">
        <f t="shared" si="18"/>
        <v>1</v>
      </c>
      <c r="B73" s="217">
        <v>41974</v>
      </c>
      <c r="C73" s="3">
        <f>'Medicaid Caseload'!C73</f>
        <v>41927</v>
      </c>
      <c r="D73" s="3">
        <f>'Medicaid Caseload'!D73</f>
        <v>10404</v>
      </c>
      <c r="E73" s="3">
        <f>'Medicaid Caseload'!E73</f>
        <v>66441</v>
      </c>
      <c r="F73" s="3">
        <f>'Medicaid Caseload'!F73</f>
        <v>3556</v>
      </c>
      <c r="G73" s="3">
        <f>'Medicaid Caseload'!G73</f>
        <v>162727</v>
      </c>
      <c r="H73" s="3">
        <f>'Medicaid Caseload'!H73</f>
        <v>70288</v>
      </c>
      <c r="I73" s="3">
        <f>'Medicaid Caseload'!I73</f>
        <v>237045</v>
      </c>
      <c r="J73" s="3">
        <f>'Medicaid Caseload'!J73</f>
        <v>396</v>
      </c>
      <c r="K73" s="63">
        <f>'Medicaid Caseload'!K73</f>
        <v>446354</v>
      </c>
      <c r="L73" s="63">
        <f>'Medicaid Caseload'!L73</f>
        <v>47275</v>
      </c>
      <c r="M73" s="3">
        <f>'Medicaid Caseload'!M73</f>
        <v>20056</v>
      </c>
      <c r="N73" s="3">
        <f>'Medicaid Caseload'!N73</f>
        <v>14542</v>
      </c>
      <c r="O73" s="3">
        <f>'Medicaid Caseload'!O73</f>
        <v>1675</v>
      </c>
      <c r="P73" s="3">
        <f>'Medicaid Caseload'!P73</f>
        <v>2541</v>
      </c>
      <c r="Q73" s="3">
        <f>'Medicaid Caseload'!Q73</f>
        <v>27944</v>
      </c>
      <c r="R73" s="218">
        <f>'Medicaid Caseload'!R73</f>
        <v>1153171</v>
      </c>
      <c r="S73" s="5" t="b">
        <f>R73=1153171</f>
        <v>1</v>
      </c>
      <c r="T73" s="5"/>
      <c r="U73" s="5"/>
      <c r="V73" s="179">
        <f t="shared" si="30"/>
        <v>9</v>
      </c>
      <c r="W73" s="179">
        <f t="shared" si="29"/>
        <v>63</v>
      </c>
      <c r="X73" s="179">
        <f t="shared" si="29"/>
        <v>98</v>
      </c>
      <c r="Y73" s="179">
        <f t="shared" si="29"/>
        <v>533</v>
      </c>
      <c r="Z73" s="179">
        <f t="shared" si="29"/>
        <v>4352</v>
      </c>
      <c r="AA73" s="179">
        <f t="shared" si="29"/>
        <v>3477</v>
      </c>
      <c r="AB73" s="179">
        <f t="shared" si="29"/>
        <v>14580</v>
      </c>
      <c r="AC73" s="179">
        <f t="shared" si="29"/>
        <v>-29</v>
      </c>
      <c r="AD73" s="179">
        <f t="shared" si="29"/>
        <v>4213</v>
      </c>
      <c r="AE73" s="179">
        <f t="shared" si="29"/>
        <v>621</v>
      </c>
      <c r="AF73" s="179">
        <f t="shared" si="29"/>
        <v>-84</v>
      </c>
      <c r="AG73" s="179">
        <f t="shared" si="29"/>
        <v>-149</v>
      </c>
      <c r="AH73" s="179">
        <f t="shared" si="29"/>
        <v>-58</v>
      </c>
      <c r="AI73" s="179">
        <f t="shared" si="29"/>
        <v>97</v>
      </c>
      <c r="AJ73" s="179">
        <f t="shared" si="29"/>
        <v>343</v>
      </c>
      <c r="AK73" s="179">
        <f t="shared" si="28"/>
        <v>28066</v>
      </c>
      <c r="AL73" s="183"/>
      <c r="AM73" s="463"/>
      <c r="AN73" s="463"/>
    </row>
    <row r="74" spans="1:40" s="180" customFormat="1" hidden="1" x14ac:dyDescent="0.2">
      <c r="A74" s="358">
        <f t="shared" si="18"/>
        <v>1</v>
      </c>
      <c r="B74" s="217">
        <v>42005</v>
      </c>
      <c r="C74" s="3">
        <f>'Medicaid Caseload'!C74</f>
        <v>41392</v>
      </c>
      <c r="D74" s="3">
        <f>'Medicaid Caseload'!D74</f>
        <v>10395</v>
      </c>
      <c r="E74" s="3">
        <f>'Medicaid Caseload'!E74</f>
        <v>66758</v>
      </c>
      <c r="F74" s="3">
        <f>'Medicaid Caseload'!F74</f>
        <v>3772</v>
      </c>
      <c r="G74" s="3">
        <f>'Medicaid Caseload'!G74</f>
        <v>160406</v>
      </c>
      <c r="H74" s="3">
        <f>'Medicaid Caseload'!H74</f>
        <v>76807</v>
      </c>
      <c r="I74" s="3">
        <f>'Medicaid Caseload'!I74</f>
        <v>247056</v>
      </c>
      <c r="J74" s="3">
        <f>'Medicaid Caseload'!J74</f>
        <v>379</v>
      </c>
      <c r="K74" s="3">
        <f>'Medicaid Caseload'!K74</f>
        <v>444669</v>
      </c>
      <c r="L74" s="3">
        <f>'Medicaid Caseload'!L74</f>
        <v>53548</v>
      </c>
      <c r="M74" s="3">
        <f>'Medicaid Caseload'!M74</f>
        <v>19951</v>
      </c>
      <c r="N74" s="3">
        <f>'Medicaid Caseload'!N74</f>
        <v>14590</v>
      </c>
      <c r="O74" s="3">
        <f>'Medicaid Caseload'!O74</f>
        <v>1772</v>
      </c>
      <c r="P74" s="3">
        <f>'Medicaid Caseload'!P74</f>
        <v>2811</v>
      </c>
      <c r="Q74" s="3">
        <f>'Medicaid Caseload'!Q74</f>
        <v>28226</v>
      </c>
      <c r="R74" s="218">
        <f>'Medicaid Caseload'!R74</f>
        <v>1172532</v>
      </c>
      <c r="S74" s="5" t="b">
        <f>R74=1172532</f>
        <v>1</v>
      </c>
      <c r="T74" s="5"/>
      <c r="U74" s="5"/>
      <c r="V74" s="179">
        <f t="shared" si="30"/>
        <v>-535</v>
      </c>
      <c r="W74" s="179">
        <f t="shared" si="29"/>
        <v>-9</v>
      </c>
      <c r="X74" s="179">
        <f t="shared" si="29"/>
        <v>317</v>
      </c>
      <c r="Y74" s="179">
        <f t="shared" si="29"/>
        <v>216</v>
      </c>
      <c r="Z74" s="179">
        <f t="shared" si="29"/>
        <v>-2321</v>
      </c>
      <c r="AA74" s="179">
        <f t="shared" si="29"/>
        <v>6519</v>
      </c>
      <c r="AB74" s="179">
        <f t="shared" si="29"/>
        <v>10011</v>
      </c>
      <c r="AC74" s="179">
        <f t="shared" si="29"/>
        <v>-17</v>
      </c>
      <c r="AD74" s="179">
        <f t="shared" si="29"/>
        <v>-1685</v>
      </c>
      <c r="AE74" s="179">
        <f t="shared" si="29"/>
        <v>6273</v>
      </c>
      <c r="AF74" s="179">
        <f t="shared" si="29"/>
        <v>-105</v>
      </c>
      <c r="AG74" s="179">
        <f t="shared" si="29"/>
        <v>48</v>
      </c>
      <c r="AH74" s="179">
        <f t="shared" si="29"/>
        <v>97</v>
      </c>
      <c r="AI74" s="179">
        <f t="shared" si="29"/>
        <v>270</v>
      </c>
      <c r="AJ74" s="179">
        <f t="shared" si="29"/>
        <v>282</v>
      </c>
      <c r="AK74" s="179">
        <f t="shared" si="28"/>
        <v>19361</v>
      </c>
      <c r="AL74" s="183"/>
      <c r="AM74" s="463"/>
      <c r="AN74" s="463"/>
    </row>
    <row r="75" spans="1:40" s="180" customFormat="1" hidden="1" x14ac:dyDescent="0.2">
      <c r="A75" s="358">
        <f t="shared" si="18"/>
        <v>1</v>
      </c>
      <c r="B75" s="217">
        <v>42036</v>
      </c>
      <c r="C75" s="3">
        <f>'Medicaid Caseload'!C75</f>
        <v>41334</v>
      </c>
      <c r="D75" s="3">
        <f>'Medicaid Caseload'!D75</f>
        <v>10532</v>
      </c>
      <c r="E75" s="3">
        <f>'Medicaid Caseload'!E75</f>
        <v>66651</v>
      </c>
      <c r="F75" s="3">
        <f>'Medicaid Caseload'!F75</f>
        <v>4112</v>
      </c>
      <c r="G75" s="3">
        <f>'Medicaid Caseload'!G75</f>
        <v>161480</v>
      </c>
      <c r="H75" s="3">
        <f>'Medicaid Caseload'!H75</f>
        <v>78910</v>
      </c>
      <c r="I75" s="3">
        <f>'Medicaid Caseload'!I75</f>
        <v>261108</v>
      </c>
      <c r="J75" s="3">
        <f>'Medicaid Caseload'!J75</f>
        <v>368</v>
      </c>
      <c r="K75" s="3">
        <f>'Medicaid Caseload'!K75</f>
        <v>446886</v>
      </c>
      <c r="L75" s="3">
        <f>'Medicaid Caseload'!L75</f>
        <v>55445</v>
      </c>
      <c r="M75" s="3">
        <f>'Medicaid Caseload'!M75</f>
        <v>19932</v>
      </c>
      <c r="N75" s="3">
        <f>'Medicaid Caseload'!N75</f>
        <v>14643</v>
      </c>
      <c r="O75" s="3">
        <f>'Medicaid Caseload'!O75</f>
        <v>1795</v>
      </c>
      <c r="P75" s="3">
        <f>'Medicaid Caseload'!P75</f>
        <v>2775</v>
      </c>
      <c r="Q75" s="3">
        <f>'Medicaid Caseload'!Q75</f>
        <v>28158</v>
      </c>
      <c r="R75" s="218">
        <f>'Medicaid Caseload'!R75</f>
        <v>1194129</v>
      </c>
      <c r="S75" s="5" t="b">
        <f>R75=1194129</f>
        <v>1</v>
      </c>
      <c r="T75" s="5"/>
      <c r="U75" s="5"/>
      <c r="V75" s="179">
        <f t="shared" si="30"/>
        <v>-58</v>
      </c>
      <c r="W75" s="179">
        <f t="shared" si="29"/>
        <v>137</v>
      </c>
      <c r="X75" s="179">
        <f t="shared" si="29"/>
        <v>-107</v>
      </c>
      <c r="Y75" s="179">
        <f t="shared" si="29"/>
        <v>340</v>
      </c>
      <c r="Z75" s="179">
        <f t="shared" si="29"/>
        <v>1074</v>
      </c>
      <c r="AA75" s="179">
        <f t="shared" si="29"/>
        <v>2103</v>
      </c>
      <c r="AB75" s="179">
        <f t="shared" si="29"/>
        <v>14052</v>
      </c>
      <c r="AC75" s="179">
        <f t="shared" si="29"/>
        <v>-11</v>
      </c>
      <c r="AD75" s="179">
        <f t="shared" si="29"/>
        <v>2217</v>
      </c>
      <c r="AE75" s="179">
        <f t="shared" si="29"/>
        <v>1897</v>
      </c>
      <c r="AF75" s="179">
        <f t="shared" si="29"/>
        <v>-19</v>
      </c>
      <c r="AG75" s="179">
        <f t="shared" si="29"/>
        <v>53</v>
      </c>
      <c r="AH75" s="179">
        <f t="shared" si="29"/>
        <v>23</v>
      </c>
      <c r="AI75" s="179">
        <f t="shared" si="29"/>
        <v>-36</v>
      </c>
      <c r="AJ75" s="179">
        <f t="shared" si="29"/>
        <v>-68</v>
      </c>
      <c r="AK75" s="179">
        <f t="shared" si="28"/>
        <v>21597</v>
      </c>
      <c r="AL75" s="183"/>
      <c r="AM75" s="463"/>
      <c r="AN75" s="463"/>
    </row>
    <row r="76" spans="1:40" s="180" customFormat="1" hidden="1" x14ac:dyDescent="0.2">
      <c r="A76" s="358">
        <f t="shared" si="18"/>
        <v>1</v>
      </c>
      <c r="B76" s="217">
        <v>42064</v>
      </c>
      <c r="C76" s="3">
        <f>'Medicaid Caseload'!C76</f>
        <v>41518</v>
      </c>
      <c r="D76" s="3">
        <f>'Medicaid Caseload'!D76</f>
        <v>10615</v>
      </c>
      <c r="E76" s="3">
        <f>'Medicaid Caseload'!E76</f>
        <v>66974</v>
      </c>
      <c r="F76" s="3">
        <f>'Medicaid Caseload'!F76</f>
        <v>4226</v>
      </c>
      <c r="G76" s="3">
        <f>'Medicaid Caseload'!G76</f>
        <v>163641</v>
      </c>
      <c r="H76" s="3">
        <f>'Medicaid Caseload'!H76</f>
        <v>80068</v>
      </c>
      <c r="I76" s="3">
        <f>'Medicaid Caseload'!I76</f>
        <v>267714</v>
      </c>
      <c r="J76" s="3">
        <f>'Medicaid Caseload'!J76</f>
        <v>368</v>
      </c>
      <c r="K76" s="3">
        <f>'Medicaid Caseload'!K76</f>
        <v>450778</v>
      </c>
      <c r="L76" s="3">
        <f>'Medicaid Caseload'!L76</f>
        <v>56155</v>
      </c>
      <c r="M76" s="3">
        <f>'Medicaid Caseload'!M76</f>
        <v>19925</v>
      </c>
      <c r="N76" s="3">
        <f>'Medicaid Caseload'!N76</f>
        <v>14804</v>
      </c>
      <c r="O76" s="3">
        <f>'Medicaid Caseload'!O76</f>
        <v>1810</v>
      </c>
      <c r="P76" s="3">
        <f>'Medicaid Caseload'!P76</f>
        <v>2984</v>
      </c>
      <c r="Q76" s="3">
        <f>'Medicaid Caseload'!Q76</f>
        <v>28332</v>
      </c>
      <c r="R76" s="218">
        <f>'Medicaid Caseload'!R76</f>
        <v>1209912</v>
      </c>
      <c r="S76" s="5" t="b">
        <f>R76=1209912</f>
        <v>1</v>
      </c>
      <c r="T76" s="5"/>
      <c r="U76" s="5"/>
      <c r="V76" s="179">
        <f t="shared" si="30"/>
        <v>184</v>
      </c>
      <c r="W76" s="179">
        <f t="shared" si="29"/>
        <v>83</v>
      </c>
      <c r="X76" s="179">
        <f t="shared" si="29"/>
        <v>323</v>
      </c>
      <c r="Y76" s="179">
        <f t="shared" si="29"/>
        <v>114</v>
      </c>
      <c r="Z76" s="179">
        <f t="shared" si="29"/>
        <v>2161</v>
      </c>
      <c r="AA76" s="179">
        <f t="shared" si="29"/>
        <v>1158</v>
      </c>
      <c r="AB76" s="179">
        <f t="shared" si="29"/>
        <v>6606</v>
      </c>
      <c r="AC76" s="179">
        <f t="shared" si="29"/>
        <v>0</v>
      </c>
      <c r="AD76" s="179">
        <f t="shared" si="29"/>
        <v>3892</v>
      </c>
      <c r="AE76" s="179">
        <f t="shared" si="29"/>
        <v>710</v>
      </c>
      <c r="AF76" s="179">
        <f t="shared" si="29"/>
        <v>-7</v>
      </c>
      <c r="AG76" s="179">
        <f t="shared" si="29"/>
        <v>161</v>
      </c>
      <c r="AH76" s="179">
        <f t="shared" si="29"/>
        <v>15</v>
      </c>
      <c r="AI76" s="179">
        <f t="shared" si="29"/>
        <v>209</v>
      </c>
      <c r="AJ76" s="179">
        <f t="shared" si="29"/>
        <v>174</v>
      </c>
      <c r="AK76" s="179">
        <f t="shared" si="28"/>
        <v>15783</v>
      </c>
      <c r="AL76" s="182">
        <f>AVERAGE(AK68:AK79)</f>
        <v>16164</v>
      </c>
      <c r="AM76" s="463"/>
      <c r="AN76" s="463"/>
    </row>
    <row r="77" spans="1:40" s="180" customFormat="1" hidden="1" x14ac:dyDescent="0.2">
      <c r="A77" s="358">
        <f t="shared" si="18"/>
        <v>1</v>
      </c>
      <c r="B77" s="217">
        <v>42095</v>
      </c>
      <c r="C77" s="3">
        <f>'Medicaid Caseload'!C77</f>
        <v>41621</v>
      </c>
      <c r="D77" s="3">
        <f>'Medicaid Caseload'!D77</f>
        <v>10690</v>
      </c>
      <c r="E77" s="3">
        <f>'Medicaid Caseload'!E77</f>
        <v>67110</v>
      </c>
      <c r="F77" s="3">
        <f>'Medicaid Caseload'!F77</f>
        <v>4161</v>
      </c>
      <c r="G77" s="3">
        <f>'Medicaid Caseload'!G77</f>
        <v>165835</v>
      </c>
      <c r="H77" s="3">
        <f>'Medicaid Caseload'!H77</f>
        <v>79437</v>
      </c>
      <c r="I77" s="3">
        <f>'Medicaid Caseload'!I77</f>
        <v>273043</v>
      </c>
      <c r="J77" s="3">
        <f>'Medicaid Caseload'!J77</f>
        <v>361</v>
      </c>
      <c r="K77" s="3">
        <f>'Medicaid Caseload'!K77</f>
        <v>455223</v>
      </c>
      <c r="L77" s="3">
        <f>'Medicaid Caseload'!L77</f>
        <v>55565</v>
      </c>
      <c r="M77" s="3">
        <f>'Medicaid Caseload'!M77</f>
        <v>19982</v>
      </c>
      <c r="N77" s="3">
        <f>'Medicaid Caseload'!N77</f>
        <v>14954</v>
      </c>
      <c r="O77" s="3">
        <f>'Medicaid Caseload'!O77</f>
        <v>1743</v>
      </c>
      <c r="P77" s="3">
        <f>'Medicaid Caseload'!P77</f>
        <v>3096</v>
      </c>
      <c r="Q77" s="3">
        <f>'Medicaid Caseload'!Q77</f>
        <v>29170</v>
      </c>
      <c r="R77" s="218">
        <f>'Medicaid Caseload'!R77</f>
        <v>1221991</v>
      </c>
      <c r="S77" s="5" t="b">
        <f>R77=1221991</f>
        <v>1</v>
      </c>
      <c r="T77" s="5"/>
      <c r="U77" s="5"/>
      <c r="V77" s="179">
        <f t="shared" si="30"/>
        <v>103</v>
      </c>
      <c r="W77" s="179">
        <f t="shared" si="29"/>
        <v>75</v>
      </c>
      <c r="X77" s="179">
        <f t="shared" si="29"/>
        <v>136</v>
      </c>
      <c r="Y77" s="179">
        <f t="shared" si="29"/>
        <v>-65</v>
      </c>
      <c r="Z77" s="179">
        <f t="shared" si="29"/>
        <v>2194</v>
      </c>
      <c r="AA77" s="179">
        <f t="shared" si="29"/>
        <v>-631</v>
      </c>
      <c r="AB77" s="179">
        <f t="shared" si="29"/>
        <v>5329</v>
      </c>
      <c r="AC77" s="179">
        <f t="shared" si="29"/>
        <v>-7</v>
      </c>
      <c r="AD77" s="179">
        <f t="shared" si="29"/>
        <v>4445</v>
      </c>
      <c r="AE77" s="179">
        <f t="shared" si="29"/>
        <v>-590</v>
      </c>
      <c r="AF77" s="179">
        <f t="shared" si="29"/>
        <v>57</v>
      </c>
      <c r="AG77" s="179">
        <f t="shared" si="29"/>
        <v>150</v>
      </c>
      <c r="AH77" s="179">
        <f t="shared" si="29"/>
        <v>-67</v>
      </c>
      <c r="AI77" s="179">
        <f t="shared" si="29"/>
        <v>112</v>
      </c>
      <c r="AJ77" s="179">
        <f t="shared" si="29"/>
        <v>838</v>
      </c>
      <c r="AK77" s="179">
        <f t="shared" si="28"/>
        <v>12079</v>
      </c>
      <c r="AL77" s="182">
        <f>AVERAGE(AK69:AK76)</f>
        <v>17697.5</v>
      </c>
      <c r="AM77" s="463"/>
      <c r="AN77" s="463"/>
    </row>
    <row r="78" spans="1:40" s="180" customFormat="1" hidden="1" x14ac:dyDescent="0.2">
      <c r="A78" s="358">
        <f t="shared" si="18"/>
        <v>1</v>
      </c>
      <c r="B78" s="217">
        <v>42125</v>
      </c>
      <c r="C78" s="3">
        <f>'Medicaid Caseload'!C78</f>
        <v>41778</v>
      </c>
      <c r="D78" s="3">
        <f>'Medicaid Caseload'!D78</f>
        <v>10703</v>
      </c>
      <c r="E78" s="3">
        <f>'Medicaid Caseload'!E78</f>
        <v>67261</v>
      </c>
      <c r="F78" s="3">
        <f>'Medicaid Caseload'!F78</f>
        <v>4279</v>
      </c>
      <c r="G78" s="3">
        <f>'Medicaid Caseload'!G78</f>
        <v>167183</v>
      </c>
      <c r="H78" s="3">
        <f>'Medicaid Caseload'!H78</f>
        <v>79417</v>
      </c>
      <c r="I78" s="3">
        <f>'Medicaid Caseload'!I78</f>
        <v>278709</v>
      </c>
      <c r="J78" s="3">
        <f>'Medicaid Caseload'!J78</f>
        <v>358</v>
      </c>
      <c r="K78" s="3">
        <f>'Medicaid Caseload'!K78</f>
        <v>456426</v>
      </c>
      <c r="L78" s="3">
        <f>'Medicaid Caseload'!L78</f>
        <v>56104</v>
      </c>
      <c r="M78" s="3">
        <f>'Medicaid Caseload'!M78</f>
        <v>19945</v>
      </c>
      <c r="N78" s="3">
        <f>'Medicaid Caseload'!N78</f>
        <v>14914</v>
      </c>
      <c r="O78" s="3">
        <f>'Medicaid Caseload'!O78</f>
        <v>1694</v>
      </c>
      <c r="P78" s="3">
        <f>'Medicaid Caseload'!P78</f>
        <v>3070</v>
      </c>
      <c r="Q78" s="3">
        <f>'Medicaid Caseload'!Q78</f>
        <v>30224</v>
      </c>
      <c r="R78" s="218">
        <f>'Medicaid Caseload'!R78</f>
        <v>1232065</v>
      </c>
      <c r="S78" s="5" t="b">
        <f>R78=1232065</f>
        <v>1</v>
      </c>
      <c r="T78" s="464" t="s">
        <v>200</v>
      </c>
      <c r="U78" s="5"/>
      <c r="V78" s="179">
        <f t="shared" si="30"/>
        <v>157</v>
      </c>
      <c r="W78" s="179">
        <f t="shared" si="29"/>
        <v>13</v>
      </c>
      <c r="X78" s="179">
        <f t="shared" si="29"/>
        <v>151</v>
      </c>
      <c r="Y78" s="179">
        <f t="shared" si="29"/>
        <v>118</v>
      </c>
      <c r="Z78" s="179">
        <f t="shared" si="29"/>
        <v>1348</v>
      </c>
      <c r="AA78" s="179">
        <f t="shared" si="29"/>
        <v>-20</v>
      </c>
      <c r="AB78" s="179">
        <f t="shared" si="29"/>
        <v>5666</v>
      </c>
      <c r="AC78" s="179">
        <f t="shared" si="29"/>
        <v>-3</v>
      </c>
      <c r="AD78" s="179">
        <f t="shared" si="29"/>
        <v>1203</v>
      </c>
      <c r="AE78" s="179">
        <f t="shared" si="29"/>
        <v>539</v>
      </c>
      <c r="AF78" s="179">
        <f t="shared" si="29"/>
        <v>-37</v>
      </c>
      <c r="AG78" s="179">
        <f t="shared" si="29"/>
        <v>-40</v>
      </c>
      <c r="AH78" s="179">
        <f t="shared" si="29"/>
        <v>-49</v>
      </c>
      <c r="AI78" s="179">
        <f t="shared" si="29"/>
        <v>-26</v>
      </c>
      <c r="AJ78" s="179">
        <f t="shared" si="29"/>
        <v>1054</v>
      </c>
      <c r="AK78" s="179">
        <f t="shared" si="28"/>
        <v>10074</v>
      </c>
      <c r="AL78" s="182">
        <f>AVERAGE(AK68:AK79)</f>
        <v>16164</v>
      </c>
      <c r="AM78" s="463"/>
      <c r="AN78" s="463"/>
    </row>
    <row r="79" spans="1:40" s="180" customFormat="1" hidden="1" x14ac:dyDescent="0.2">
      <c r="A79" s="358">
        <f t="shared" si="18"/>
        <v>1</v>
      </c>
      <c r="B79" s="217">
        <v>42156</v>
      </c>
      <c r="C79" s="3">
        <f>'Medicaid Caseload'!C79</f>
        <v>41849</v>
      </c>
      <c r="D79" s="3">
        <f>'Medicaid Caseload'!D79</f>
        <v>10503</v>
      </c>
      <c r="E79" s="3">
        <f>'Medicaid Caseload'!E79</f>
        <v>67726</v>
      </c>
      <c r="F79" s="3">
        <f>'Medicaid Caseload'!F79</f>
        <v>4509</v>
      </c>
      <c r="G79" s="3">
        <f>'Medicaid Caseload'!G79</f>
        <v>169912</v>
      </c>
      <c r="H79" s="3">
        <f>'Medicaid Caseload'!H79</f>
        <v>79036</v>
      </c>
      <c r="I79" s="3">
        <f>'Medicaid Caseload'!I79</f>
        <v>282910</v>
      </c>
      <c r="J79" s="3">
        <f>'Medicaid Caseload'!J79</f>
        <v>352</v>
      </c>
      <c r="K79" s="3">
        <f>'Medicaid Caseload'!K79</f>
        <v>457855</v>
      </c>
      <c r="L79" s="3">
        <f>'Medicaid Caseload'!L79</f>
        <v>57059</v>
      </c>
      <c r="M79" s="3">
        <f>'Medicaid Caseload'!M79</f>
        <v>19791</v>
      </c>
      <c r="N79" s="3">
        <f>'Medicaid Caseload'!N79</f>
        <v>14822</v>
      </c>
      <c r="O79" s="3">
        <f>'Medicaid Caseload'!O79</f>
        <v>1665</v>
      </c>
      <c r="P79" s="3">
        <f>'Medicaid Caseload'!P79</f>
        <v>2885</v>
      </c>
      <c r="Q79" s="3">
        <f>'Medicaid Caseload'!Q79</f>
        <v>30560</v>
      </c>
      <c r="R79" s="218">
        <f>'Medicaid Caseload'!R79</f>
        <v>1241434</v>
      </c>
      <c r="S79" s="5" t="b">
        <f>R79=1241434</f>
        <v>1</v>
      </c>
      <c r="T79" s="464"/>
      <c r="U79" s="5"/>
      <c r="V79" s="179">
        <f t="shared" si="30"/>
        <v>71</v>
      </c>
      <c r="W79" s="179">
        <f t="shared" si="29"/>
        <v>-200</v>
      </c>
      <c r="X79" s="179">
        <f t="shared" si="29"/>
        <v>465</v>
      </c>
      <c r="Y79" s="179">
        <f t="shared" si="29"/>
        <v>230</v>
      </c>
      <c r="Z79" s="179">
        <f t="shared" si="29"/>
        <v>2729</v>
      </c>
      <c r="AA79" s="179">
        <f t="shared" si="29"/>
        <v>-381</v>
      </c>
      <c r="AB79" s="179">
        <f t="shared" si="29"/>
        <v>4201</v>
      </c>
      <c r="AC79" s="179">
        <f t="shared" si="29"/>
        <v>-6</v>
      </c>
      <c r="AD79" s="179">
        <f t="shared" si="29"/>
        <v>1429</v>
      </c>
      <c r="AE79" s="179">
        <f t="shared" si="29"/>
        <v>955</v>
      </c>
      <c r="AF79" s="179">
        <f t="shared" si="29"/>
        <v>-154</v>
      </c>
      <c r="AG79" s="179">
        <f t="shared" si="29"/>
        <v>-92</v>
      </c>
      <c r="AH79" s="179">
        <f t="shared" si="29"/>
        <v>-29</v>
      </c>
      <c r="AI79" s="179">
        <f t="shared" si="29"/>
        <v>-185</v>
      </c>
      <c r="AJ79" s="179">
        <f t="shared" si="29"/>
        <v>336</v>
      </c>
      <c r="AK79" s="179">
        <f>R79-R78</f>
        <v>9369</v>
      </c>
      <c r="AL79" s="183"/>
      <c r="AM79" s="463"/>
      <c r="AN79" s="463"/>
    </row>
    <row r="80" spans="1:40" s="180" customFormat="1" hidden="1" x14ac:dyDescent="0.2">
      <c r="A80" s="358">
        <f t="shared" si="18"/>
        <v>1</v>
      </c>
      <c r="B80" s="221" t="s">
        <v>278</v>
      </c>
      <c r="C80" s="7">
        <f>'Medicaid Caseload'!C80</f>
        <v>41817</v>
      </c>
      <c r="D80" s="7">
        <f>'Medicaid Caseload'!D80</f>
        <v>10466</v>
      </c>
      <c r="E80" s="7">
        <f>'Medicaid Caseload'!E80</f>
        <v>66548</v>
      </c>
      <c r="F80" s="7">
        <f>'Medicaid Caseload'!F80</f>
        <v>3627</v>
      </c>
      <c r="G80" s="7">
        <f>'Medicaid Caseload'!G80</f>
        <v>161682</v>
      </c>
      <c r="H80" s="7">
        <f>'Medicaid Caseload'!H80</f>
        <v>71989</v>
      </c>
      <c r="I80" s="7">
        <f>'Medicaid Caseload'!I80</f>
        <v>241392</v>
      </c>
      <c r="J80" s="7">
        <f>'Medicaid Caseload'!J80</f>
        <v>400</v>
      </c>
      <c r="K80" s="7">
        <f>'Medicaid Caseload'!K80</f>
        <v>445723</v>
      </c>
      <c r="L80" s="7">
        <f>'Medicaid Caseload'!L80</f>
        <v>50113</v>
      </c>
      <c r="M80" s="7">
        <f>'Medicaid Caseload'!M80</f>
        <v>20036</v>
      </c>
      <c r="N80" s="7">
        <f>'Medicaid Caseload'!N80</f>
        <v>14897</v>
      </c>
      <c r="O80" s="7">
        <f>'Medicaid Caseload'!O80</f>
        <v>1749</v>
      </c>
      <c r="P80" s="7">
        <f>'Medicaid Caseload'!P80</f>
        <v>2722</v>
      </c>
      <c r="Q80" s="7">
        <f>'Medicaid Caseload'!Q80</f>
        <v>28045</v>
      </c>
      <c r="R80" s="222">
        <f>'Medicaid Caseload'!R80</f>
        <v>1161206</v>
      </c>
      <c r="S80" s="5" t="b">
        <f>R80=SUM(C80:Q80)</f>
        <v>1</v>
      </c>
      <c r="T80" s="464"/>
      <c r="U80" s="5"/>
      <c r="V80" s="179"/>
      <c r="W80" s="179"/>
      <c r="X80" s="179"/>
      <c r="Y80" s="179"/>
      <c r="Z80" s="179"/>
      <c r="AA80" s="179"/>
      <c r="AB80" s="179"/>
      <c r="AC80" s="179"/>
      <c r="AD80" s="179"/>
      <c r="AE80" s="179"/>
      <c r="AF80" s="179"/>
      <c r="AG80" s="179"/>
      <c r="AH80" s="179"/>
      <c r="AI80" s="179"/>
      <c r="AJ80" s="179"/>
      <c r="AK80" s="179"/>
      <c r="AL80" s="183"/>
      <c r="AM80" s="463"/>
      <c r="AN80" s="463"/>
    </row>
    <row r="81" spans="1:40" s="180" customFormat="1" x14ac:dyDescent="0.2">
      <c r="A81" s="358">
        <f t="shared" si="18"/>
        <v>1</v>
      </c>
      <c r="B81" s="217">
        <v>42186</v>
      </c>
      <c r="C81" s="3">
        <f>'Medicaid Caseload'!C81</f>
        <v>41661</v>
      </c>
      <c r="D81" s="3">
        <f>'Medicaid Caseload'!D81</f>
        <v>10437</v>
      </c>
      <c r="E81" s="3">
        <f>'Medicaid Caseload'!E81</f>
        <v>72760</v>
      </c>
      <c r="F81" s="3">
        <f>'Medicaid Caseload'!F81</f>
        <v>5670</v>
      </c>
      <c r="G81" s="3">
        <f>'Medicaid Caseload'!G81</f>
        <v>169316</v>
      </c>
      <c r="H81" s="3">
        <f>'Medicaid Caseload'!H81</f>
        <v>79502</v>
      </c>
      <c r="I81" s="3">
        <f>'Medicaid Caseload'!I81</f>
        <v>287183</v>
      </c>
      <c r="J81" s="3">
        <f>'Medicaid Caseload'!J81</f>
        <v>344</v>
      </c>
      <c r="K81" s="3">
        <f>'Medicaid Caseload'!K81</f>
        <v>454996</v>
      </c>
      <c r="L81" s="3">
        <f>'Medicaid Caseload'!L81</f>
        <v>56220</v>
      </c>
      <c r="M81" s="3">
        <f>'Medicaid Caseload'!M81</f>
        <v>19578</v>
      </c>
      <c r="N81" s="3">
        <f>'Medicaid Caseload'!N81</f>
        <v>14627</v>
      </c>
      <c r="O81" s="3">
        <f>'Medicaid Caseload'!O81</f>
        <v>1596</v>
      </c>
      <c r="P81" s="3">
        <f>'Medicaid Caseload'!P81</f>
        <v>2774</v>
      </c>
      <c r="Q81" s="3">
        <f>'Medicaid Caseload'!Q81</f>
        <v>30877</v>
      </c>
      <c r="R81" s="218">
        <f>'Medicaid Caseload'!R81</f>
        <v>1247541</v>
      </c>
      <c r="S81" s="5" t="b">
        <f>R81=1247541</f>
        <v>1</v>
      </c>
      <c r="T81" s="465">
        <f>R81-R79</f>
        <v>6107</v>
      </c>
      <c r="U81" s="5"/>
      <c r="V81" s="179">
        <f>C81-C79</f>
        <v>-188</v>
      </c>
      <c r="W81" s="179">
        <f t="shared" ref="W81:AJ81" si="31">D81-D79</f>
        <v>-66</v>
      </c>
      <c r="X81" s="179">
        <f t="shared" si="31"/>
        <v>5034</v>
      </c>
      <c r="Y81" s="179">
        <f t="shared" si="31"/>
        <v>1161</v>
      </c>
      <c r="Z81" s="179">
        <f t="shared" si="31"/>
        <v>-596</v>
      </c>
      <c r="AA81" s="179">
        <f t="shared" si="31"/>
        <v>466</v>
      </c>
      <c r="AB81" s="179">
        <f t="shared" si="31"/>
        <v>4273</v>
      </c>
      <c r="AC81" s="179">
        <f t="shared" si="31"/>
        <v>-8</v>
      </c>
      <c r="AD81" s="179">
        <f t="shared" si="31"/>
        <v>-2859</v>
      </c>
      <c r="AE81" s="179">
        <f t="shared" si="31"/>
        <v>-839</v>
      </c>
      <c r="AF81" s="179">
        <f t="shared" si="31"/>
        <v>-213</v>
      </c>
      <c r="AG81" s="179">
        <f t="shared" si="31"/>
        <v>-195</v>
      </c>
      <c r="AH81" s="179">
        <f t="shared" si="31"/>
        <v>-69</v>
      </c>
      <c r="AI81" s="179">
        <f t="shared" si="31"/>
        <v>-111</v>
      </c>
      <c r="AJ81" s="179">
        <f t="shared" si="31"/>
        <v>317</v>
      </c>
      <c r="AK81" s="179">
        <f>R81-R79</f>
        <v>6107</v>
      </c>
      <c r="AL81" s="183">
        <f>AVERAGE(AK81:AK82)</f>
        <v>9917</v>
      </c>
      <c r="AM81" s="463"/>
      <c r="AN81" s="463"/>
    </row>
    <row r="82" spans="1:40" s="180" customFormat="1" x14ac:dyDescent="0.2">
      <c r="A82" s="358">
        <f t="shared" si="18"/>
        <v>1</v>
      </c>
      <c r="B82" s="217">
        <v>42217</v>
      </c>
      <c r="C82" s="3">
        <f>'Medicaid Caseload'!C82</f>
        <v>41909</v>
      </c>
      <c r="D82" s="3">
        <f>'Medicaid Caseload'!D82</f>
        <v>10423</v>
      </c>
      <c r="E82" s="3">
        <f>'Medicaid Caseload'!E82</f>
        <v>71167</v>
      </c>
      <c r="F82" s="3">
        <f>'Medicaid Caseload'!F82</f>
        <v>9733</v>
      </c>
      <c r="G82" s="3">
        <f>'Medicaid Caseload'!G82</f>
        <v>169140</v>
      </c>
      <c r="H82" s="3">
        <f>'Medicaid Caseload'!H82</f>
        <v>81001</v>
      </c>
      <c r="I82" s="3">
        <f>'Medicaid Caseload'!I82</f>
        <v>293155</v>
      </c>
      <c r="J82" s="3">
        <f>'Medicaid Caseload'!J82</f>
        <v>342</v>
      </c>
      <c r="K82" s="3">
        <f>'Medicaid Caseload'!K82</f>
        <v>457343</v>
      </c>
      <c r="L82" s="3">
        <f>'Medicaid Caseload'!L82</f>
        <v>57355</v>
      </c>
      <c r="M82" s="3">
        <f>'Medicaid Caseload'!M82</f>
        <v>19676</v>
      </c>
      <c r="N82" s="3">
        <f>'Medicaid Caseload'!N82</f>
        <v>14466</v>
      </c>
      <c r="O82" s="3">
        <f>'Medicaid Caseload'!O82</f>
        <v>1615</v>
      </c>
      <c r="P82" s="3">
        <f>'Medicaid Caseload'!P82</f>
        <v>2699</v>
      </c>
      <c r="Q82" s="3">
        <f>'Medicaid Caseload'!Q82</f>
        <v>31244</v>
      </c>
      <c r="R82" s="218">
        <f>'Medicaid Caseload'!R82</f>
        <v>1261268</v>
      </c>
      <c r="S82" s="5" t="b">
        <f>R82=1261268</f>
        <v>1</v>
      </c>
      <c r="T82" s="465">
        <f t="shared" ref="T82:T91" si="32">R82-R81</f>
        <v>13727</v>
      </c>
      <c r="U82" s="5"/>
      <c r="V82" s="179">
        <f t="shared" si="30"/>
        <v>248</v>
      </c>
      <c r="W82" s="179">
        <f t="shared" si="29"/>
        <v>-14</v>
      </c>
      <c r="X82" s="179">
        <f t="shared" si="29"/>
        <v>-1593</v>
      </c>
      <c r="Y82" s="179">
        <f t="shared" si="29"/>
        <v>4063</v>
      </c>
      <c r="Z82" s="179">
        <f t="shared" si="29"/>
        <v>-176</v>
      </c>
      <c r="AA82" s="179">
        <f t="shared" si="29"/>
        <v>1499</v>
      </c>
      <c r="AB82" s="179">
        <f t="shared" si="29"/>
        <v>5972</v>
      </c>
      <c r="AC82" s="179">
        <f t="shared" si="29"/>
        <v>-2</v>
      </c>
      <c r="AD82" s="179">
        <f t="shared" si="29"/>
        <v>2347</v>
      </c>
      <c r="AE82" s="179">
        <f t="shared" si="29"/>
        <v>1135</v>
      </c>
      <c r="AF82" s="179">
        <f t="shared" si="29"/>
        <v>98</v>
      </c>
      <c r="AG82" s="179">
        <f t="shared" si="29"/>
        <v>-161</v>
      </c>
      <c r="AH82" s="179">
        <f t="shared" si="29"/>
        <v>19</v>
      </c>
      <c r="AI82" s="179">
        <f t="shared" si="29"/>
        <v>-75</v>
      </c>
      <c r="AJ82" s="179">
        <f t="shared" si="29"/>
        <v>367</v>
      </c>
      <c r="AK82" s="179">
        <f t="shared" si="28"/>
        <v>13727</v>
      </c>
      <c r="AL82" s="183"/>
      <c r="AM82" s="463"/>
      <c r="AN82" s="463"/>
    </row>
    <row r="83" spans="1:40" s="180" customFormat="1" x14ac:dyDescent="0.2">
      <c r="A83" s="358">
        <f t="shared" si="18"/>
        <v>1</v>
      </c>
      <c r="B83" s="217">
        <v>42248</v>
      </c>
      <c r="C83" s="3">
        <f>'Medicaid Caseload'!C83</f>
        <v>42134</v>
      </c>
      <c r="D83" s="3">
        <f>'Medicaid Caseload'!D83</f>
        <v>10348</v>
      </c>
      <c r="E83" s="3">
        <f>'Medicaid Caseload'!E83</f>
        <v>68765</v>
      </c>
      <c r="F83" s="3">
        <f>'Medicaid Caseload'!F83</f>
        <v>10175</v>
      </c>
      <c r="G83" s="3">
        <f>'Medicaid Caseload'!G83</f>
        <v>169127</v>
      </c>
      <c r="H83" s="3">
        <f>'Medicaid Caseload'!H83</f>
        <v>82010</v>
      </c>
      <c r="I83" s="3">
        <f>'Medicaid Caseload'!I83</f>
        <v>297680</v>
      </c>
      <c r="J83" s="3">
        <f>'Medicaid Caseload'!J83</f>
        <v>342</v>
      </c>
      <c r="K83" s="3">
        <f>'Medicaid Caseload'!K83</f>
        <v>461317</v>
      </c>
      <c r="L83" s="3">
        <f>'Medicaid Caseload'!L83</f>
        <v>58330</v>
      </c>
      <c r="M83" s="3">
        <f>'Medicaid Caseload'!M83</f>
        <v>19776</v>
      </c>
      <c r="N83" s="3">
        <f>'Medicaid Caseload'!N83</f>
        <v>14204</v>
      </c>
      <c r="O83" s="3">
        <f>'Medicaid Caseload'!O83</f>
        <v>1614</v>
      </c>
      <c r="P83" s="3">
        <f>'Medicaid Caseload'!P83</f>
        <v>2635</v>
      </c>
      <c r="Q83" s="3">
        <f>'Medicaid Caseload'!Q83</f>
        <v>31278</v>
      </c>
      <c r="R83" s="218">
        <f>'Medicaid Caseload'!R83</f>
        <v>1269735</v>
      </c>
      <c r="S83" s="5" t="b">
        <f>R83=1269735</f>
        <v>1</v>
      </c>
      <c r="T83" s="465">
        <f t="shared" si="32"/>
        <v>8467</v>
      </c>
      <c r="U83" s="5"/>
      <c r="V83" s="179"/>
      <c r="W83" s="179"/>
      <c r="X83" s="179"/>
      <c r="Y83" s="179"/>
      <c r="Z83" s="179"/>
      <c r="AA83" s="179"/>
      <c r="AB83" s="179"/>
      <c r="AC83" s="179"/>
      <c r="AD83" s="179"/>
      <c r="AE83" s="179"/>
      <c r="AF83" s="179"/>
      <c r="AG83" s="179"/>
      <c r="AH83" s="179"/>
      <c r="AI83" s="179"/>
      <c r="AJ83" s="179"/>
      <c r="AK83" s="179">
        <f t="shared" si="28"/>
        <v>8467</v>
      </c>
      <c r="AL83" s="183"/>
      <c r="AM83" s="463"/>
      <c r="AN83" s="463"/>
    </row>
    <row r="84" spans="1:40" s="180" customFormat="1" x14ac:dyDescent="0.2">
      <c r="A84" s="358">
        <f t="shared" si="18"/>
        <v>1</v>
      </c>
      <c r="B84" s="217">
        <v>42278</v>
      </c>
      <c r="C84" s="3">
        <f>'Medicaid Caseload'!C84</f>
        <v>41817</v>
      </c>
      <c r="D84" s="3">
        <f>'Medicaid Caseload'!D84</f>
        <v>10190</v>
      </c>
      <c r="E84" s="3">
        <f>'Medicaid Caseload'!E84</f>
        <v>68576</v>
      </c>
      <c r="F84" s="3">
        <f>'Medicaid Caseload'!F84</f>
        <v>6030</v>
      </c>
      <c r="G84" s="3">
        <f>'Medicaid Caseload'!G84</f>
        <v>167734</v>
      </c>
      <c r="H84" s="3">
        <f>'Medicaid Caseload'!H84</f>
        <v>82642</v>
      </c>
      <c r="I84" s="3">
        <f>'Medicaid Caseload'!I84</f>
        <v>302362</v>
      </c>
      <c r="J84" s="3">
        <f>'Medicaid Caseload'!J84</f>
        <v>336</v>
      </c>
      <c r="K84" s="3">
        <f>'Medicaid Caseload'!K84</f>
        <v>466623</v>
      </c>
      <c r="L84" s="3">
        <f>'Medicaid Caseload'!L84</f>
        <v>58336</v>
      </c>
      <c r="M84" s="3">
        <f>'Medicaid Caseload'!M84</f>
        <v>19814</v>
      </c>
      <c r="N84" s="3">
        <f>'Medicaid Caseload'!N84</f>
        <v>13139</v>
      </c>
      <c r="O84" s="3">
        <f>'Medicaid Caseload'!O84</f>
        <v>1568</v>
      </c>
      <c r="P84" s="3">
        <f>'Medicaid Caseload'!P84</f>
        <v>2491</v>
      </c>
      <c r="Q84" s="3">
        <f>'Medicaid Caseload'!Q84</f>
        <v>31293</v>
      </c>
      <c r="R84" s="218">
        <f>'Medicaid Caseload'!R84</f>
        <v>1272951</v>
      </c>
      <c r="S84" s="5" t="b">
        <f>R84=1272951</f>
        <v>1</v>
      </c>
      <c r="T84" s="465">
        <f t="shared" si="32"/>
        <v>3216</v>
      </c>
      <c r="U84" s="5"/>
      <c r="V84" s="179"/>
      <c r="W84" s="179"/>
      <c r="X84" s="179"/>
      <c r="Y84" s="179"/>
      <c r="Z84" s="179"/>
      <c r="AA84" s="179"/>
      <c r="AB84" s="179"/>
      <c r="AC84" s="179"/>
      <c r="AD84" s="179"/>
      <c r="AE84" s="179"/>
      <c r="AF84" s="179"/>
      <c r="AG84" s="179"/>
      <c r="AH84" s="179"/>
      <c r="AI84" s="179"/>
      <c r="AJ84" s="179"/>
      <c r="AK84" s="179">
        <f t="shared" si="28"/>
        <v>3216</v>
      </c>
      <c r="AL84" s="183"/>
      <c r="AM84" s="463"/>
      <c r="AN84" s="463"/>
    </row>
    <row r="85" spans="1:40" s="180" customFormat="1" x14ac:dyDescent="0.2">
      <c r="A85" s="358">
        <f t="shared" si="18"/>
        <v>1</v>
      </c>
      <c r="B85" s="217">
        <v>42309</v>
      </c>
      <c r="C85" s="3">
        <f>'Medicaid Caseload'!C85</f>
        <v>42456</v>
      </c>
      <c r="D85" s="3">
        <f>'Medicaid Caseload'!D85</f>
        <v>10429</v>
      </c>
      <c r="E85" s="3">
        <f>'Medicaid Caseload'!E85</f>
        <v>69113</v>
      </c>
      <c r="F85" s="3">
        <f>'Medicaid Caseload'!F85</f>
        <v>5539</v>
      </c>
      <c r="G85" s="3">
        <f>'Medicaid Caseload'!G85</f>
        <v>162975</v>
      </c>
      <c r="H85" s="3">
        <f>'Medicaid Caseload'!H85</f>
        <v>85784</v>
      </c>
      <c r="I85" s="3">
        <f>'Medicaid Caseload'!I85</f>
        <v>310294</v>
      </c>
      <c r="J85" s="3">
        <f>'Medicaid Caseload'!J85</f>
        <v>324</v>
      </c>
      <c r="K85" s="3">
        <f>'Medicaid Caseload'!K85</f>
        <v>466734</v>
      </c>
      <c r="L85" s="3">
        <f>'Medicaid Caseload'!L85</f>
        <v>59640</v>
      </c>
      <c r="M85" s="3">
        <f>'Medicaid Caseload'!M85</f>
        <v>19936</v>
      </c>
      <c r="N85" s="3">
        <f>'Medicaid Caseload'!N85</f>
        <v>14428</v>
      </c>
      <c r="O85" s="3">
        <f>'Medicaid Caseload'!O85</f>
        <v>1743</v>
      </c>
      <c r="P85" s="3">
        <f>'Medicaid Caseload'!P85</f>
        <v>2605</v>
      </c>
      <c r="Q85" s="3">
        <f>'Medicaid Caseload'!Q85</f>
        <v>31903</v>
      </c>
      <c r="R85" s="218">
        <f>'Medicaid Caseload'!R85</f>
        <v>1283903</v>
      </c>
      <c r="S85" s="5" t="b">
        <f>R85=1283903</f>
        <v>1</v>
      </c>
      <c r="T85" s="465">
        <f t="shared" si="32"/>
        <v>10952</v>
      </c>
      <c r="U85" s="5"/>
      <c r="V85" s="179"/>
      <c r="W85" s="179"/>
      <c r="X85" s="179"/>
      <c r="Y85" s="179"/>
      <c r="Z85" s="179"/>
      <c r="AA85" s="179"/>
      <c r="AB85" s="179"/>
      <c r="AC85" s="179"/>
      <c r="AD85" s="179"/>
      <c r="AE85" s="179"/>
      <c r="AF85" s="179"/>
      <c r="AG85" s="179"/>
      <c r="AH85" s="179"/>
      <c r="AI85" s="179"/>
      <c r="AJ85" s="179"/>
      <c r="AK85" s="179">
        <f t="shared" si="28"/>
        <v>10952</v>
      </c>
      <c r="AL85" s="183"/>
      <c r="AM85" s="463"/>
      <c r="AN85" s="463"/>
    </row>
    <row r="86" spans="1:40" s="180" customFormat="1" x14ac:dyDescent="0.2">
      <c r="A86" s="358">
        <f t="shared" si="18"/>
        <v>1</v>
      </c>
      <c r="B86" s="217">
        <v>42339</v>
      </c>
      <c r="C86" s="3">
        <f>'Medicaid Caseload'!C86</f>
        <v>42628</v>
      </c>
      <c r="D86" s="3">
        <f>'Medicaid Caseload'!D86</f>
        <v>10451</v>
      </c>
      <c r="E86" s="3">
        <f>'Medicaid Caseload'!E86</f>
        <v>68813</v>
      </c>
      <c r="F86" s="3">
        <f>'Medicaid Caseload'!F86</f>
        <v>5717</v>
      </c>
      <c r="G86" s="3">
        <f>'Medicaid Caseload'!G86</f>
        <v>163088</v>
      </c>
      <c r="H86" s="3">
        <f>'Medicaid Caseload'!H86</f>
        <v>87548</v>
      </c>
      <c r="I86" s="3">
        <f>'Medicaid Caseload'!I86</f>
        <v>320093</v>
      </c>
      <c r="J86" s="3">
        <f>'Medicaid Caseload'!J86</f>
        <v>318</v>
      </c>
      <c r="K86" s="3">
        <f>'Medicaid Caseload'!K86</f>
        <v>469009</v>
      </c>
      <c r="L86" s="3">
        <f>'Medicaid Caseload'!L86</f>
        <v>59867</v>
      </c>
      <c r="M86" s="3">
        <f>'Medicaid Caseload'!M86</f>
        <v>19975</v>
      </c>
      <c r="N86" s="3">
        <f>'Medicaid Caseload'!N86</f>
        <v>14252</v>
      </c>
      <c r="O86" s="3">
        <f>'Medicaid Caseload'!O86</f>
        <v>1846</v>
      </c>
      <c r="P86" s="3">
        <f>'Medicaid Caseload'!P86</f>
        <v>2616</v>
      </c>
      <c r="Q86" s="3">
        <f>'Medicaid Caseload'!Q86</f>
        <v>32143</v>
      </c>
      <c r="R86" s="218">
        <f>'Medicaid Caseload'!R86</f>
        <v>1298364</v>
      </c>
      <c r="S86" s="5" t="b">
        <f>R86=1298364</f>
        <v>1</v>
      </c>
      <c r="T86" s="465">
        <f t="shared" si="32"/>
        <v>14461</v>
      </c>
      <c r="U86" s="5"/>
      <c r="V86" s="179"/>
      <c r="W86" s="179"/>
      <c r="X86" s="179"/>
      <c r="Y86" s="179"/>
      <c r="Z86" s="179"/>
      <c r="AA86" s="179"/>
      <c r="AB86" s="179"/>
      <c r="AC86" s="179"/>
      <c r="AD86" s="179"/>
      <c r="AE86" s="179"/>
      <c r="AF86" s="179"/>
      <c r="AG86" s="179"/>
      <c r="AH86" s="179"/>
      <c r="AI86" s="179"/>
      <c r="AJ86" s="179"/>
      <c r="AK86" s="179">
        <f t="shared" si="28"/>
        <v>14461</v>
      </c>
      <c r="AL86" s="183"/>
      <c r="AM86" s="463"/>
      <c r="AN86" s="463"/>
    </row>
    <row r="87" spans="1:40" s="180" customFormat="1" x14ac:dyDescent="0.2">
      <c r="A87" s="358">
        <f t="shared" si="18"/>
        <v>1</v>
      </c>
      <c r="B87" s="217">
        <v>42370</v>
      </c>
      <c r="C87" s="3">
        <f>'Medicaid Caseload'!C87</f>
        <v>42301</v>
      </c>
      <c r="D87" s="3">
        <f>'Medicaid Caseload'!D87</f>
        <v>10462</v>
      </c>
      <c r="E87" s="3">
        <f>'Medicaid Caseload'!E87</f>
        <v>67571</v>
      </c>
      <c r="F87" s="3">
        <f>'Medicaid Caseload'!F87</f>
        <v>5311</v>
      </c>
      <c r="G87" s="3">
        <f>'Medicaid Caseload'!G87</f>
        <v>162764</v>
      </c>
      <c r="H87" s="3">
        <f>'Medicaid Caseload'!H87</f>
        <v>88891</v>
      </c>
      <c r="I87" s="3">
        <f>'Medicaid Caseload'!I87</f>
        <v>327653</v>
      </c>
      <c r="J87" s="3">
        <f>'Medicaid Caseload'!J87</f>
        <v>314</v>
      </c>
      <c r="K87" s="3">
        <f>'Medicaid Caseload'!K87</f>
        <v>470109</v>
      </c>
      <c r="L87" s="3">
        <f>'Medicaid Caseload'!L87</f>
        <v>59934</v>
      </c>
      <c r="M87" s="3">
        <f>'Medicaid Caseload'!M87</f>
        <v>19987</v>
      </c>
      <c r="N87" s="3">
        <f>'Medicaid Caseload'!N87</f>
        <v>14399</v>
      </c>
      <c r="O87" s="3">
        <f>'Medicaid Caseload'!O87</f>
        <v>1811</v>
      </c>
      <c r="P87" s="3">
        <f>'Medicaid Caseload'!P87</f>
        <v>2593</v>
      </c>
      <c r="Q87" s="3">
        <f>'Medicaid Caseload'!Q87</f>
        <v>33921</v>
      </c>
      <c r="R87" s="218">
        <f>'Medicaid Caseload'!R87</f>
        <v>1308021</v>
      </c>
      <c r="S87" s="5" t="b">
        <f>R87=1308021</f>
        <v>1</v>
      </c>
      <c r="T87" s="465">
        <f t="shared" si="32"/>
        <v>9657</v>
      </c>
      <c r="U87" s="5"/>
      <c r="V87" s="179"/>
      <c r="W87" s="179"/>
      <c r="X87" s="179"/>
      <c r="Y87" s="179"/>
      <c r="Z87" s="179"/>
      <c r="AA87" s="179"/>
      <c r="AB87" s="179"/>
      <c r="AC87" s="179"/>
      <c r="AD87" s="179"/>
      <c r="AE87" s="179"/>
      <c r="AF87" s="179"/>
      <c r="AG87" s="179"/>
      <c r="AH87" s="179"/>
      <c r="AI87" s="179"/>
      <c r="AJ87" s="179"/>
      <c r="AK87" s="179"/>
      <c r="AL87" s="183"/>
      <c r="AM87" s="463"/>
      <c r="AN87" s="463"/>
    </row>
    <row r="88" spans="1:40" s="180" customFormat="1" x14ac:dyDescent="0.2">
      <c r="A88" s="358">
        <f t="shared" si="18"/>
        <v>1</v>
      </c>
      <c r="B88" s="217">
        <v>42401</v>
      </c>
      <c r="C88" s="3">
        <f>'Medicaid Caseload'!C88</f>
        <v>42504</v>
      </c>
      <c r="D88" s="3">
        <f>'Medicaid Caseload'!D88</f>
        <v>10531</v>
      </c>
      <c r="E88" s="3">
        <f>'Medicaid Caseload'!E88</f>
        <v>67298</v>
      </c>
      <c r="F88" s="3">
        <f>'Medicaid Caseload'!F88</f>
        <v>5393</v>
      </c>
      <c r="G88" s="3">
        <f>'Medicaid Caseload'!G88</f>
        <v>162650</v>
      </c>
      <c r="H88" s="3">
        <f>'Medicaid Caseload'!H88</f>
        <v>89610</v>
      </c>
      <c r="I88" s="3">
        <f>'Medicaid Caseload'!I88</f>
        <v>331622</v>
      </c>
      <c r="J88" s="3">
        <f>'Medicaid Caseload'!J88</f>
        <v>310</v>
      </c>
      <c r="K88" s="3">
        <f>'Medicaid Caseload'!K88</f>
        <v>470758</v>
      </c>
      <c r="L88" s="3">
        <f>'Medicaid Caseload'!L88</f>
        <v>59950</v>
      </c>
      <c r="M88" s="3">
        <f>'Medicaid Caseload'!M88</f>
        <v>19963</v>
      </c>
      <c r="N88" s="3">
        <f>'Medicaid Caseload'!N88</f>
        <v>14381</v>
      </c>
      <c r="O88" s="3">
        <f>'Medicaid Caseload'!O88</f>
        <v>1846</v>
      </c>
      <c r="P88" s="3">
        <f>'Medicaid Caseload'!P88</f>
        <v>2631</v>
      </c>
      <c r="Q88" s="3">
        <f>'Medicaid Caseload'!Q88</f>
        <v>33939</v>
      </c>
      <c r="R88" s="218">
        <f>'Medicaid Caseload'!R88</f>
        <v>1313386</v>
      </c>
      <c r="S88" s="5" t="b">
        <f>R88=1313386</f>
        <v>1</v>
      </c>
      <c r="T88" s="465">
        <f t="shared" si="32"/>
        <v>5365</v>
      </c>
      <c r="U88" s="5"/>
      <c r="V88" s="179"/>
      <c r="W88" s="179"/>
      <c r="X88" s="179"/>
      <c r="Y88" s="179"/>
      <c r="Z88" s="179"/>
      <c r="AA88" s="179"/>
      <c r="AB88" s="179"/>
      <c r="AC88" s="179"/>
      <c r="AD88" s="179"/>
      <c r="AE88" s="179"/>
      <c r="AF88" s="179"/>
      <c r="AG88" s="179"/>
      <c r="AH88" s="179"/>
      <c r="AI88" s="179"/>
      <c r="AJ88" s="179"/>
      <c r="AK88" s="179"/>
      <c r="AL88" s="183"/>
      <c r="AM88" s="463"/>
      <c r="AN88" s="463"/>
    </row>
    <row r="89" spans="1:40" s="180" customFormat="1" x14ac:dyDescent="0.2">
      <c r="A89" s="358">
        <f t="shared" si="18"/>
        <v>1</v>
      </c>
      <c r="B89" s="217">
        <v>42430</v>
      </c>
      <c r="C89" s="3">
        <f>'Medicaid Caseload'!C89</f>
        <v>42733</v>
      </c>
      <c r="D89" s="3">
        <f>'Medicaid Caseload'!D89</f>
        <v>10664</v>
      </c>
      <c r="E89" s="3">
        <f>'Medicaid Caseload'!E89</f>
        <v>67979</v>
      </c>
      <c r="F89" s="3">
        <f>'Medicaid Caseload'!F89</f>
        <v>5424</v>
      </c>
      <c r="G89" s="3">
        <f>'Medicaid Caseload'!G89</f>
        <v>163417</v>
      </c>
      <c r="H89" s="3">
        <f>'Medicaid Caseload'!H89</f>
        <v>90244</v>
      </c>
      <c r="I89" s="3">
        <f>'Medicaid Caseload'!I89</f>
        <v>335451</v>
      </c>
      <c r="J89" s="3">
        <f>'Medicaid Caseload'!J89</f>
        <v>311</v>
      </c>
      <c r="K89" s="3">
        <f>'Medicaid Caseload'!K89</f>
        <v>472221</v>
      </c>
      <c r="L89" s="3">
        <f>'Medicaid Caseload'!L89</f>
        <v>60614</v>
      </c>
      <c r="M89" s="3">
        <f>'Medicaid Caseload'!M89</f>
        <v>20028</v>
      </c>
      <c r="N89" s="3">
        <f>'Medicaid Caseload'!N89</f>
        <v>14619</v>
      </c>
      <c r="O89" s="3">
        <f>'Medicaid Caseload'!O89</f>
        <v>1856</v>
      </c>
      <c r="P89" s="3">
        <f>'Medicaid Caseload'!P89</f>
        <v>2722</v>
      </c>
      <c r="Q89" s="3">
        <f>'Medicaid Caseload'!Q89</f>
        <v>33442</v>
      </c>
      <c r="R89" s="218">
        <f>'Medicaid Caseload'!R89</f>
        <v>1321725</v>
      </c>
      <c r="S89" s="5" t="b">
        <f>R89=1321725</f>
        <v>1</v>
      </c>
      <c r="T89" s="465">
        <f t="shared" si="32"/>
        <v>8339</v>
      </c>
      <c r="U89" s="5"/>
      <c r="V89" s="179"/>
      <c r="W89" s="179"/>
      <c r="X89" s="179"/>
      <c r="Y89" s="179"/>
      <c r="Z89" s="179"/>
      <c r="AA89" s="179"/>
      <c r="AB89" s="179"/>
      <c r="AC89" s="179"/>
      <c r="AD89" s="179"/>
      <c r="AE89" s="179"/>
      <c r="AF89" s="179"/>
      <c r="AG89" s="179"/>
      <c r="AH89" s="179"/>
      <c r="AI89" s="179"/>
      <c r="AJ89" s="179"/>
      <c r="AK89" s="179"/>
      <c r="AL89" s="183"/>
      <c r="AM89" s="463"/>
      <c r="AN89" s="463"/>
    </row>
    <row r="90" spans="1:40" s="180" customFormat="1" x14ac:dyDescent="0.2">
      <c r="A90" s="358">
        <f t="shared" si="18"/>
        <v>1</v>
      </c>
      <c r="B90" s="217">
        <v>42461</v>
      </c>
      <c r="C90" s="3">
        <f>'Medicaid Caseload'!C90</f>
        <v>42778</v>
      </c>
      <c r="D90" s="3">
        <f>'Medicaid Caseload'!D90</f>
        <v>10749</v>
      </c>
      <c r="E90" s="3">
        <f>'Medicaid Caseload'!E90</f>
        <v>67828</v>
      </c>
      <c r="F90" s="3">
        <f>'Medicaid Caseload'!F90</f>
        <v>5192</v>
      </c>
      <c r="G90" s="3">
        <f>'Medicaid Caseload'!G90</f>
        <v>161967</v>
      </c>
      <c r="H90" s="3">
        <f>'Medicaid Caseload'!H90</f>
        <v>90644</v>
      </c>
      <c r="I90" s="3">
        <f>'Medicaid Caseload'!I90</f>
        <v>340862</v>
      </c>
      <c r="J90" s="3">
        <f>'Medicaid Caseload'!J90</f>
        <v>308</v>
      </c>
      <c r="K90" s="3">
        <f>'Medicaid Caseload'!K90</f>
        <v>472964</v>
      </c>
      <c r="L90" s="3">
        <f>'Medicaid Caseload'!L90</f>
        <v>60790</v>
      </c>
      <c r="M90" s="3">
        <f>'Medicaid Caseload'!M90</f>
        <v>20133</v>
      </c>
      <c r="N90" s="3">
        <f>'Medicaid Caseload'!N90</f>
        <v>14675</v>
      </c>
      <c r="O90" s="3">
        <f>'Medicaid Caseload'!O90</f>
        <v>1846</v>
      </c>
      <c r="P90" s="3">
        <f>'Medicaid Caseload'!P90</f>
        <v>2675</v>
      </c>
      <c r="Q90" s="3">
        <f>'Medicaid Caseload'!Q90</f>
        <v>33478</v>
      </c>
      <c r="R90" s="218">
        <f>'Medicaid Caseload'!R90</f>
        <v>1326889</v>
      </c>
      <c r="S90" s="5" t="b">
        <f>R90=1326889</f>
        <v>1</v>
      </c>
      <c r="T90" s="465">
        <f t="shared" si="32"/>
        <v>5164</v>
      </c>
      <c r="U90" s="5"/>
      <c r="V90" s="179"/>
      <c r="W90" s="179"/>
      <c r="X90" s="179"/>
      <c r="Y90" s="179"/>
      <c r="Z90" s="179"/>
      <c r="AA90" s="179"/>
      <c r="AB90" s="179"/>
      <c r="AC90" s="179"/>
      <c r="AD90" s="179"/>
      <c r="AE90" s="179"/>
      <c r="AF90" s="179"/>
      <c r="AG90" s="179"/>
      <c r="AH90" s="179"/>
      <c r="AI90" s="179"/>
      <c r="AJ90" s="179"/>
      <c r="AK90" s="179"/>
      <c r="AL90" s="183"/>
      <c r="AM90" s="463"/>
      <c r="AN90" s="463"/>
    </row>
    <row r="91" spans="1:40" s="180" customFormat="1" x14ac:dyDescent="0.2">
      <c r="A91" s="358">
        <f t="shared" si="18"/>
        <v>1</v>
      </c>
      <c r="B91" s="217">
        <v>42491</v>
      </c>
      <c r="C91" s="3">
        <f>'Medicaid Caseload'!C91</f>
        <v>42900</v>
      </c>
      <c r="D91" s="3">
        <f>'Medicaid Caseload'!D91</f>
        <v>10788</v>
      </c>
      <c r="E91" s="3">
        <f>'Medicaid Caseload'!E91</f>
        <v>67842</v>
      </c>
      <c r="F91" s="3">
        <f>'Medicaid Caseload'!F91</f>
        <v>5152</v>
      </c>
      <c r="G91" s="3">
        <f>'Medicaid Caseload'!G91</f>
        <v>155252</v>
      </c>
      <c r="H91" s="3">
        <f>'Medicaid Caseload'!H91</f>
        <v>92385</v>
      </c>
      <c r="I91" s="3">
        <f>'Medicaid Caseload'!I91</f>
        <v>347731</v>
      </c>
      <c r="J91" s="3">
        <f>'Medicaid Caseload'!J91</f>
        <v>308</v>
      </c>
      <c r="K91" s="3">
        <f>'Medicaid Caseload'!K91</f>
        <v>472199</v>
      </c>
      <c r="L91" s="3">
        <f>'Medicaid Caseload'!L91</f>
        <v>61169</v>
      </c>
      <c r="M91" s="3">
        <f>'Medicaid Caseload'!M91</f>
        <v>20196</v>
      </c>
      <c r="N91" s="3">
        <f>'Medicaid Caseload'!N91</f>
        <v>14884</v>
      </c>
      <c r="O91" s="3">
        <f>'Medicaid Caseload'!O91</f>
        <v>1870</v>
      </c>
      <c r="P91" s="3">
        <f>'Medicaid Caseload'!P91</f>
        <v>2707</v>
      </c>
      <c r="Q91" s="3">
        <f>'Medicaid Caseload'!Q91</f>
        <v>33693</v>
      </c>
      <c r="R91" s="218">
        <f>'Medicaid Caseload'!R91</f>
        <v>1329076</v>
      </c>
      <c r="S91" s="5" t="b">
        <f>R91=1329076</f>
        <v>1</v>
      </c>
      <c r="T91" s="465">
        <f t="shared" si="32"/>
        <v>2187</v>
      </c>
      <c r="U91" s="5"/>
      <c r="V91" s="179"/>
      <c r="W91" s="179"/>
      <c r="X91" s="179"/>
      <c r="Y91" s="179"/>
      <c r="Z91" s="179"/>
      <c r="AA91" s="179"/>
      <c r="AB91" s="179"/>
      <c r="AC91" s="179"/>
      <c r="AD91" s="179"/>
      <c r="AE91" s="179"/>
      <c r="AF91" s="179"/>
      <c r="AG91" s="179"/>
      <c r="AH91" s="179"/>
      <c r="AI91" s="179"/>
      <c r="AJ91" s="179"/>
      <c r="AK91" s="179"/>
      <c r="AL91" s="183"/>
      <c r="AM91" s="463"/>
      <c r="AN91" s="463"/>
    </row>
    <row r="92" spans="1:40" s="180" customFormat="1" x14ac:dyDescent="0.2">
      <c r="A92" s="358">
        <f t="shared" si="18"/>
        <v>1</v>
      </c>
      <c r="B92" s="217">
        <v>42522</v>
      </c>
      <c r="C92" s="3">
        <f>'Medicaid Caseload'!C92</f>
        <v>43015</v>
      </c>
      <c r="D92" s="3">
        <f>'Medicaid Caseload'!D92</f>
        <v>10876</v>
      </c>
      <c r="E92" s="3">
        <f>'Medicaid Caseload'!E92</f>
        <v>67891</v>
      </c>
      <c r="F92" s="3">
        <f>'Medicaid Caseload'!F92</f>
        <v>5265</v>
      </c>
      <c r="G92" s="3">
        <f>'Medicaid Caseload'!G92</f>
        <v>152679</v>
      </c>
      <c r="H92" s="3">
        <f>'Medicaid Caseload'!H92</f>
        <v>93307</v>
      </c>
      <c r="I92" s="3">
        <f>'Medicaid Caseload'!I92</f>
        <v>350396</v>
      </c>
      <c r="J92" s="3">
        <f>'Medicaid Caseload'!J92</f>
        <v>304</v>
      </c>
      <c r="K92" s="3">
        <f>'Medicaid Caseload'!K92</f>
        <v>472050</v>
      </c>
      <c r="L92" s="3">
        <f>'Medicaid Caseload'!L92</f>
        <v>61808</v>
      </c>
      <c r="M92" s="3">
        <f>'Medicaid Caseload'!M92</f>
        <v>20162</v>
      </c>
      <c r="N92" s="3">
        <f>'Medicaid Caseload'!N92</f>
        <v>14883</v>
      </c>
      <c r="O92" s="3">
        <f>'Medicaid Caseload'!O92</f>
        <v>1893</v>
      </c>
      <c r="P92" s="3">
        <f>'Medicaid Caseload'!P92</f>
        <v>2635</v>
      </c>
      <c r="Q92" s="3">
        <f>'Medicaid Caseload'!Q92</f>
        <v>33813</v>
      </c>
      <c r="R92" s="218">
        <f>'Medicaid Caseload'!R92</f>
        <v>1330977</v>
      </c>
      <c r="S92" s="5" t="b">
        <f>R92=1330977</f>
        <v>1</v>
      </c>
      <c r="T92" s="465">
        <f>R92-R91</f>
        <v>1901</v>
      </c>
      <c r="U92" s="5"/>
      <c r="V92" s="179"/>
      <c r="W92" s="179"/>
      <c r="X92" s="179"/>
      <c r="Y92" s="179"/>
      <c r="Z92" s="179"/>
      <c r="AA92" s="179"/>
      <c r="AB92" s="179"/>
      <c r="AC92" s="179"/>
      <c r="AD92" s="179"/>
      <c r="AE92" s="179"/>
      <c r="AF92" s="179"/>
      <c r="AG92" s="179"/>
      <c r="AH92" s="179"/>
      <c r="AI92" s="179"/>
      <c r="AJ92" s="179"/>
      <c r="AK92" s="179"/>
      <c r="AL92" s="183"/>
      <c r="AM92" s="463"/>
      <c r="AN92" s="463"/>
    </row>
    <row r="93" spans="1:40" s="180" customFormat="1" x14ac:dyDescent="0.2">
      <c r="A93" s="358">
        <f t="shared" si="18"/>
        <v>1</v>
      </c>
      <c r="B93" s="221" t="s">
        <v>322</v>
      </c>
      <c r="C93" s="7">
        <f>'Medicaid Caseload'!C93</f>
        <v>42403</v>
      </c>
      <c r="D93" s="7">
        <f>'Medicaid Caseload'!D93</f>
        <v>10529</v>
      </c>
      <c r="E93" s="7">
        <f>'Medicaid Caseload'!E93</f>
        <v>68800</v>
      </c>
      <c r="F93" s="7">
        <f>'Medicaid Caseload'!F93</f>
        <v>6217</v>
      </c>
      <c r="G93" s="7">
        <f>'Medicaid Caseload'!G93</f>
        <v>163342</v>
      </c>
      <c r="H93" s="7">
        <f>'Medicaid Caseload'!H93</f>
        <v>86964</v>
      </c>
      <c r="I93" s="7">
        <f>'Medicaid Caseload'!I93</f>
        <v>320374</v>
      </c>
      <c r="J93" s="7">
        <f>'Medicaid Caseload'!J93</f>
        <v>322</v>
      </c>
      <c r="K93" s="7">
        <f>'Medicaid Caseload'!K93</f>
        <v>467193</v>
      </c>
      <c r="L93" s="7">
        <f>'Medicaid Caseload'!L93</f>
        <v>59501</v>
      </c>
      <c r="M93" s="7">
        <f>'Medicaid Caseload'!M93</f>
        <v>19935</v>
      </c>
      <c r="N93" s="7">
        <f>'Medicaid Caseload'!N93</f>
        <v>14413</v>
      </c>
      <c r="O93" s="7">
        <f>'Medicaid Caseload'!O93</f>
        <v>1759</v>
      </c>
      <c r="P93" s="7">
        <f>'Medicaid Caseload'!P93</f>
        <v>2649</v>
      </c>
      <c r="Q93" s="7">
        <f>'Medicaid Caseload'!Q93</f>
        <v>32585</v>
      </c>
      <c r="R93" s="222">
        <f>'Medicaid Caseload'!R93</f>
        <v>1296986</v>
      </c>
      <c r="S93" s="5" t="b">
        <f>R93=1296986</f>
        <v>1</v>
      </c>
      <c r="T93" s="464"/>
      <c r="U93" s="5"/>
      <c r="V93" s="179"/>
      <c r="W93" s="179"/>
      <c r="X93" s="179"/>
      <c r="Y93" s="179"/>
      <c r="Z93" s="179"/>
      <c r="AA93" s="179"/>
      <c r="AB93" s="179"/>
      <c r="AC93" s="179"/>
      <c r="AD93" s="179"/>
      <c r="AE93" s="179"/>
      <c r="AF93" s="179"/>
      <c r="AG93" s="179"/>
      <c r="AH93" s="179"/>
      <c r="AI93" s="179"/>
      <c r="AJ93" s="179"/>
      <c r="AK93" s="179"/>
      <c r="AL93" s="183"/>
      <c r="AM93" s="463"/>
      <c r="AN93" s="463"/>
    </row>
    <row r="94" spans="1:40" s="180" customFormat="1" x14ac:dyDescent="0.2">
      <c r="A94" s="358">
        <f t="shared" si="18"/>
        <v>1</v>
      </c>
      <c r="B94" s="217">
        <v>42552</v>
      </c>
      <c r="C94" s="3">
        <f>'Medicaid Caseload'!C94</f>
        <v>43104</v>
      </c>
      <c r="D94" s="3">
        <f>'Medicaid Caseload'!D94</f>
        <v>10931</v>
      </c>
      <c r="E94" s="3">
        <f>'Medicaid Caseload'!E94</f>
        <v>67836</v>
      </c>
      <c r="F94" s="3">
        <f>'Medicaid Caseload'!F94</f>
        <v>5334</v>
      </c>
      <c r="G94" s="3">
        <f>'Medicaid Caseload'!G94</f>
        <v>150888</v>
      </c>
      <c r="H94" s="3">
        <f>'Medicaid Caseload'!H94</f>
        <v>90622</v>
      </c>
      <c r="I94" s="3">
        <f>'Medicaid Caseload'!I94</f>
        <v>351908</v>
      </c>
      <c r="J94" s="3">
        <f>'Medicaid Caseload'!J94</f>
        <v>313</v>
      </c>
      <c r="K94" s="3">
        <f>'Medicaid Caseload'!K94</f>
        <v>470963</v>
      </c>
      <c r="L94" s="3">
        <f>'Medicaid Caseload'!L94</f>
        <v>62982</v>
      </c>
      <c r="M94" s="3">
        <f>'Medicaid Caseload'!M94</f>
        <v>20118</v>
      </c>
      <c r="N94" s="3">
        <f>'Medicaid Caseload'!N94</f>
        <v>14896</v>
      </c>
      <c r="O94" s="3">
        <f>'Medicaid Caseload'!O94</f>
        <v>1883</v>
      </c>
      <c r="P94" s="3">
        <f>'Medicaid Caseload'!P94</f>
        <v>2630</v>
      </c>
      <c r="Q94" s="3">
        <f>'Medicaid Caseload'!Q94</f>
        <v>33512</v>
      </c>
      <c r="R94" s="218">
        <f>'Medicaid Caseload'!R94</f>
        <v>1327920</v>
      </c>
      <c r="S94" s="5" t="b">
        <f>R94=1327920</f>
        <v>1</v>
      </c>
      <c r="T94" s="465">
        <f>R94-R92</f>
        <v>-3057</v>
      </c>
      <c r="U94" s="5"/>
      <c r="V94" s="179">
        <f>SUM(H94:I94)</f>
        <v>442530</v>
      </c>
      <c r="W94" s="179"/>
      <c r="X94" s="179"/>
      <c r="Y94" s="179"/>
      <c r="Z94" s="179"/>
      <c r="AA94" s="179"/>
      <c r="AB94" s="179"/>
      <c r="AC94" s="179"/>
      <c r="AD94" s="179"/>
      <c r="AE94" s="179"/>
      <c r="AF94" s="179"/>
      <c r="AG94" s="179"/>
      <c r="AH94" s="179"/>
      <c r="AI94" s="179"/>
      <c r="AJ94" s="179"/>
      <c r="AK94" s="179"/>
      <c r="AL94" s="183"/>
      <c r="AM94" s="463"/>
      <c r="AN94" s="463"/>
    </row>
    <row r="95" spans="1:40" s="180" customFormat="1" x14ac:dyDescent="0.2">
      <c r="A95" s="358">
        <f t="shared" si="18"/>
        <v>1</v>
      </c>
      <c r="B95" s="217">
        <v>42583</v>
      </c>
      <c r="C95" s="3">
        <f>'Medicaid Caseload'!C95</f>
        <v>43374</v>
      </c>
      <c r="D95" s="3">
        <f>'Medicaid Caseload'!D95</f>
        <v>11011</v>
      </c>
      <c r="E95" s="3">
        <f>'Medicaid Caseload'!E95</f>
        <v>67906</v>
      </c>
      <c r="F95" s="3">
        <f>'Medicaid Caseload'!F95</f>
        <v>5452</v>
      </c>
      <c r="G95" s="3">
        <f>'Medicaid Caseload'!G95</f>
        <v>150673</v>
      </c>
      <c r="H95" s="3">
        <f>'Medicaid Caseload'!H95</f>
        <v>91044</v>
      </c>
      <c r="I95" s="3">
        <f>'Medicaid Caseload'!I95</f>
        <v>359971</v>
      </c>
      <c r="J95" s="3">
        <f>'Medicaid Caseload'!J95</f>
        <v>310</v>
      </c>
      <c r="K95" s="3">
        <f>'Medicaid Caseload'!K95</f>
        <v>471980</v>
      </c>
      <c r="L95" s="3">
        <f>'Medicaid Caseload'!L95</f>
        <v>63715</v>
      </c>
      <c r="M95" s="3">
        <f>'Medicaid Caseload'!M95</f>
        <v>20203</v>
      </c>
      <c r="N95" s="3">
        <f>'Medicaid Caseload'!N95</f>
        <v>14911</v>
      </c>
      <c r="O95" s="3">
        <f>'Medicaid Caseload'!O95</f>
        <v>1872</v>
      </c>
      <c r="P95" s="3">
        <f>'Medicaid Caseload'!P95</f>
        <v>2634</v>
      </c>
      <c r="Q95" s="3">
        <f>'Medicaid Caseload'!Q95</f>
        <v>33636</v>
      </c>
      <c r="R95" s="218">
        <f>'Medicaid Caseload'!R95</f>
        <v>1338692</v>
      </c>
      <c r="S95" s="5" t="b">
        <f>R95=1338692</f>
        <v>1</v>
      </c>
      <c r="T95" s="465">
        <f t="shared" ref="T95:T108" si="33">R95-R94</f>
        <v>10772</v>
      </c>
      <c r="U95" s="5"/>
      <c r="V95" s="179">
        <f t="shared" ref="V95:V103" si="34">SUM(H95:I95)</f>
        <v>451015</v>
      </c>
      <c r="W95" s="179"/>
      <c r="X95" s="179"/>
      <c r="Y95" s="179"/>
      <c r="Z95" s="179"/>
      <c r="AA95" s="179"/>
      <c r="AB95" s="179"/>
      <c r="AC95" s="179"/>
      <c r="AD95" s="179"/>
      <c r="AE95" s="179"/>
      <c r="AF95" s="179"/>
      <c r="AG95" s="179"/>
      <c r="AH95" s="179"/>
      <c r="AI95" s="179"/>
      <c r="AJ95" s="179"/>
      <c r="AK95" s="179"/>
      <c r="AL95" s="183"/>
      <c r="AM95" s="463"/>
      <c r="AN95" s="463"/>
    </row>
    <row r="96" spans="1:40" s="180" customFormat="1" x14ac:dyDescent="0.2">
      <c r="A96" s="358">
        <f t="shared" si="18"/>
        <v>1</v>
      </c>
      <c r="B96" s="217">
        <v>42614</v>
      </c>
      <c r="C96" s="3">
        <f>'Medicaid Caseload'!C96</f>
        <v>43633</v>
      </c>
      <c r="D96" s="3">
        <f>'Medicaid Caseload'!D96</f>
        <v>11039</v>
      </c>
      <c r="E96" s="3">
        <f>'Medicaid Caseload'!E96</f>
        <v>68043</v>
      </c>
      <c r="F96" s="3">
        <f>'Medicaid Caseload'!F96</f>
        <v>5598</v>
      </c>
      <c r="G96" s="3">
        <f>'Medicaid Caseload'!G96</f>
        <v>151271</v>
      </c>
      <c r="H96" s="3">
        <f>'Medicaid Caseload'!H96</f>
        <v>90010</v>
      </c>
      <c r="I96" s="3">
        <f>'Medicaid Caseload'!I96</f>
        <v>356125</v>
      </c>
      <c r="J96" s="3">
        <f>'Medicaid Caseload'!J96</f>
        <v>311</v>
      </c>
      <c r="K96" s="3">
        <f>'Medicaid Caseload'!K96</f>
        <v>471754</v>
      </c>
      <c r="L96" s="3">
        <f>'Medicaid Caseload'!L96</f>
        <v>64431</v>
      </c>
      <c r="M96" s="3">
        <f>'Medicaid Caseload'!M96</f>
        <v>20296</v>
      </c>
      <c r="N96" s="3">
        <f>'Medicaid Caseload'!N96</f>
        <v>14401</v>
      </c>
      <c r="O96" s="3">
        <f>'Medicaid Caseload'!O96</f>
        <v>1797</v>
      </c>
      <c r="P96" s="3">
        <f>'Medicaid Caseload'!P96</f>
        <v>2571</v>
      </c>
      <c r="Q96" s="3">
        <f>'Medicaid Caseload'!Q96</f>
        <v>33623</v>
      </c>
      <c r="R96" s="218">
        <f>'Medicaid Caseload'!R96</f>
        <v>1334903</v>
      </c>
      <c r="S96" s="5" t="b">
        <f>R96=1334903</f>
        <v>1</v>
      </c>
      <c r="T96" s="465">
        <f t="shared" si="33"/>
        <v>-3789</v>
      </c>
      <c r="U96" s="5"/>
      <c r="V96" s="179">
        <f t="shared" si="34"/>
        <v>446135</v>
      </c>
      <c r="W96" s="179"/>
      <c r="X96" s="179"/>
      <c r="Y96" s="179"/>
      <c r="Z96" s="179"/>
      <c r="AA96" s="179"/>
      <c r="AB96" s="179"/>
      <c r="AC96" s="179"/>
      <c r="AD96" s="179"/>
      <c r="AE96" s="179"/>
      <c r="AF96" s="179"/>
      <c r="AG96" s="179"/>
      <c r="AH96" s="179"/>
      <c r="AI96" s="179"/>
      <c r="AJ96" s="179"/>
      <c r="AK96" s="179"/>
      <c r="AL96" s="183"/>
      <c r="AM96" s="463"/>
      <c r="AN96" s="463"/>
    </row>
    <row r="97" spans="1:40" s="180" customFormat="1" x14ac:dyDescent="0.2">
      <c r="A97" s="358">
        <f t="shared" si="18"/>
        <v>1</v>
      </c>
      <c r="B97" s="217">
        <v>42644</v>
      </c>
      <c r="C97" s="3">
        <f>'Medicaid Caseload'!C97</f>
        <v>43725</v>
      </c>
      <c r="D97" s="3">
        <f>'Medicaid Caseload'!D97</f>
        <v>11131</v>
      </c>
      <c r="E97" s="3">
        <f>'Medicaid Caseload'!E97</f>
        <v>67951</v>
      </c>
      <c r="F97" s="3">
        <f>'Medicaid Caseload'!F97</f>
        <v>5825</v>
      </c>
      <c r="G97" s="3">
        <f>'Medicaid Caseload'!G97</f>
        <v>153579</v>
      </c>
      <c r="H97" s="3">
        <f>'Medicaid Caseload'!H97</f>
        <v>88537</v>
      </c>
      <c r="I97" s="3">
        <f>'Medicaid Caseload'!I97</f>
        <v>353370</v>
      </c>
      <c r="J97" s="3">
        <f>'Medicaid Caseload'!J97</f>
        <v>312</v>
      </c>
      <c r="K97" s="3">
        <f>'Medicaid Caseload'!K97</f>
        <v>471116</v>
      </c>
      <c r="L97" s="3">
        <f>'Medicaid Caseload'!L97</f>
        <v>64454</v>
      </c>
      <c r="M97" s="3">
        <f>'Medicaid Caseload'!M97</f>
        <v>20260</v>
      </c>
      <c r="N97" s="3">
        <f>'Medicaid Caseload'!N97</f>
        <v>14168</v>
      </c>
      <c r="O97" s="3">
        <f>'Medicaid Caseload'!O97</f>
        <v>1790</v>
      </c>
      <c r="P97" s="3">
        <f>'Medicaid Caseload'!P97</f>
        <v>2455</v>
      </c>
      <c r="Q97" s="3">
        <f>'Medicaid Caseload'!Q97</f>
        <v>33461</v>
      </c>
      <c r="R97" s="218">
        <f>'Medicaid Caseload'!R97</f>
        <v>1332134</v>
      </c>
      <c r="S97" s="5" t="b">
        <f>R97=1332134</f>
        <v>1</v>
      </c>
      <c r="T97" s="465">
        <f t="shared" si="33"/>
        <v>-2769</v>
      </c>
      <c r="U97" s="5"/>
      <c r="V97" s="179">
        <f t="shared" si="34"/>
        <v>441907</v>
      </c>
      <c r="W97" s="179"/>
      <c r="X97" s="179"/>
      <c r="Y97" s="179"/>
      <c r="Z97" s="179"/>
      <c r="AA97" s="179"/>
      <c r="AB97" s="179"/>
      <c r="AC97" s="179"/>
      <c r="AD97" s="179"/>
      <c r="AE97" s="179"/>
      <c r="AF97" s="179"/>
      <c r="AG97" s="179"/>
      <c r="AH97" s="179"/>
      <c r="AI97" s="179"/>
      <c r="AJ97" s="179"/>
      <c r="AK97" s="179"/>
      <c r="AL97" s="183"/>
      <c r="AM97" s="463"/>
      <c r="AN97" s="463"/>
    </row>
    <row r="98" spans="1:40" s="180" customFormat="1" x14ac:dyDescent="0.2">
      <c r="A98" s="358">
        <f t="shared" si="18"/>
        <v>1</v>
      </c>
      <c r="B98" s="217">
        <v>42675</v>
      </c>
      <c r="C98" s="63">
        <f>'Medicaid Caseload'!C98</f>
        <v>43913</v>
      </c>
      <c r="D98" s="63">
        <f>'Medicaid Caseload'!D98</f>
        <v>11233</v>
      </c>
      <c r="E98" s="63">
        <f>'Medicaid Caseload'!E98</f>
        <v>67914</v>
      </c>
      <c r="F98" s="63">
        <f>'Medicaid Caseload'!F98</f>
        <v>5918</v>
      </c>
      <c r="G98" s="63">
        <f>'Medicaid Caseload'!G98</f>
        <v>155687</v>
      </c>
      <c r="H98" s="63">
        <f>'Medicaid Caseload'!H98</f>
        <v>90158</v>
      </c>
      <c r="I98" s="63">
        <f>'Medicaid Caseload'!I98</f>
        <v>358986</v>
      </c>
      <c r="J98" s="63">
        <f>'Medicaid Caseload'!J98</f>
        <v>306</v>
      </c>
      <c r="K98" s="63">
        <f>'Medicaid Caseload'!K98</f>
        <v>473863</v>
      </c>
      <c r="L98" s="63">
        <f>'Medicaid Caseload'!L98</f>
        <v>61650</v>
      </c>
      <c r="M98" s="63">
        <f>'Medicaid Caseload'!M98</f>
        <v>20306</v>
      </c>
      <c r="N98" s="63">
        <f>'Medicaid Caseload'!N98</f>
        <v>13876</v>
      </c>
      <c r="O98" s="63">
        <f>'Medicaid Caseload'!O98</f>
        <v>1738</v>
      </c>
      <c r="P98" s="63">
        <f>'Medicaid Caseload'!P98</f>
        <v>2434</v>
      </c>
      <c r="Q98" s="63">
        <f>'Medicaid Caseload'!Q98</f>
        <v>33416</v>
      </c>
      <c r="R98" s="218">
        <f>'Medicaid Caseload'!R98</f>
        <v>1341398</v>
      </c>
      <c r="S98" s="5" t="b">
        <f>R98=1341398</f>
        <v>1</v>
      </c>
      <c r="T98" s="465">
        <f t="shared" si="33"/>
        <v>9264</v>
      </c>
      <c r="U98" s="5"/>
      <c r="V98" s="179">
        <f t="shared" si="34"/>
        <v>449144</v>
      </c>
      <c r="W98" s="179"/>
      <c r="X98" s="179"/>
      <c r="Y98" s="179"/>
      <c r="Z98" s="179"/>
      <c r="AA98" s="179"/>
      <c r="AB98" s="179"/>
      <c r="AC98" s="179"/>
      <c r="AD98" s="179"/>
      <c r="AE98" s="179"/>
      <c r="AF98" s="179"/>
      <c r="AG98" s="179"/>
      <c r="AH98" s="179"/>
      <c r="AI98" s="179"/>
      <c r="AJ98" s="179"/>
      <c r="AK98" s="179"/>
      <c r="AL98" s="183"/>
      <c r="AM98" s="463"/>
      <c r="AN98" s="463"/>
    </row>
    <row r="99" spans="1:40" s="180" customFormat="1" x14ac:dyDescent="0.2">
      <c r="A99" s="358">
        <f t="shared" si="18"/>
        <v>1</v>
      </c>
      <c r="B99" s="217">
        <v>42705</v>
      </c>
      <c r="C99" s="3">
        <f>'Medicaid Caseload'!C99</f>
        <v>43481</v>
      </c>
      <c r="D99" s="3">
        <f>'Medicaid Caseload'!D99</f>
        <v>11181</v>
      </c>
      <c r="E99" s="3">
        <f>'Medicaid Caseload'!E99</f>
        <v>66509</v>
      </c>
      <c r="F99" s="3">
        <f>'Medicaid Caseload'!F99</f>
        <v>6114</v>
      </c>
      <c r="G99" s="3">
        <f>'Medicaid Caseload'!G99</f>
        <v>157155</v>
      </c>
      <c r="H99" s="3">
        <f>'Medicaid Caseload'!H99</f>
        <v>90730</v>
      </c>
      <c r="I99" s="3">
        <f>'Medicaid Caseload'!I99</f>
        <v>362193</v>
      </c>
      <c r="J99" s="3">
        <f>'Medicaid Caseload'!J99</f>
        <v>303</v>
      </c>
      <c r="K99" s="3">
        <f>'Medicaid Caseload'!K99</f>
        <v>472054</v>
      </c>
      <c r="L99" s="3">
        <f>'Medicaid Caseload'!L99</f>
        <v>62524</v>
      </c>
      <c r="M99" s="3">
        <f>'Medicaid Caseload'!M99</f>
        <v>20296</v>
      </c>
      <c r="N99" s="3">
        <f>'Medicaid Caseload'!N99</f>
        <v>13608</v>
      </c>
      <c r="O99" s="3">
        <f>'Medicaid Caseload'!O99</f>
        <v>1736</v>
      </c>
      <c r="P99" s="3">
        <f>'Medicaid Caseload'!P99</f>
        <v>2430</v>
      </c>
      <c r="Q99" s="3">
        <f>'Medicaid Caseload'!Q99</f>
        <v>33390</v>
      </c>
      <c r="R99" s="218">
        <f>'Medicaid Caseload'!R99</f>
        <v>1343704</v>
      </c>
      <c r="S99" s="5" t="b">
        <f>R99=1343704</f>
        <v>1</v>
      </c>
      <c r="T99" s="465">
        <f t="shared" si="33"/>
        <v>2306</v>
      </c>
      <c r="U99" s="5"/>
      <c r="V99" s="179">
        <f t="shared" si="34"/>
        <v>452923</v>
      </c>
      <c r="W99" s="179"/>
      <c r="X99" s="179"/>
      <c r="Y99" s="179"/>
      <c r="Z99" s="179"/>
      <c r="AA99" s="179"/>
      <c r="AB99" s="179"/>
      <c r="AC99" s="179"/>
      <c r="AD99" s="179"/>
      <c r="AE99" s="179"/>
      <c r="AF99" s="179"/>
      <c r="AG99" s="179"/>
      <c r="AH99" s="179"/>
      <c r="AI99" s="179"/>
      <c r="AJ99" s="179"/>
      <c r="AK99" s="179"/>
      <c r="AL99" s="183"/>
      <c r="AM99" s="463"/>
      <c r="AN99" s="463"/>
    </row>
    <row r="100" spans="1:40" s="180" customFormat="1" x14ac:dyDescent="0.2">
      <c r="A100" s="358">
        <f t="shared" si="18"/>
        <v>1</v>
      </c>
      <c r="B100" s="217">
        <v>42736</v>
      </c>
      <c r="C100" s="3">
        <f>'Medicaid Caseload'!C100</f>
        <v>43888</v>
      </c>
      <c r="D100" s="3">
        <f>'Medicaid Caseload'!D100</f>
        <v>11405</v>
      </c>
      <c r="E100" s="3">
        <f>'Medicaid Caseload'!E100</f>
        <v>68174</v>
      </c>
      <c r="F100" s="3">
        <f>'Medicaid Caseload'!F100</f>
        <v>6267</v>
      </c>
      <c r="G100" s="3">
        <f>'Medicaid Caseload'!G100</f>
        <v>158234</v>
      </c>
      <c r="H100" s="3">
        <f>'Medicaid Caseload'!H100</f>
        <v>87555</v>
      </c>
      <c r="I100" s="3">
        <f>'Medicaid Caseload'!I100</f>
        <v>362098</v>
      </c>
      <c r="J100" s="3">
        <f>'Medicaid Caseload'!J100</f>
        <v>295</v>
      </c>
      <c r="K100" s="3">
        <f>'Medicaid Caseload'!K100</f>
        <v>469992</v>
      </c>
      <c r="L100" s="3">
        <f>'Medicaid Caseload'!L100</f>
        <v>64732</v>
      </c>
      <c r="M100" s="3">
        <f>'Medicaid Caseload'!M100</f>
        <v>20297</v>
      </c>
      <c r="N100" s="3">
        <f>'Medicaid Caseload'!N100</f>
        <v>13527</v>
      </c>
      <c r="O100" s="3">
        <f>'Medicaid Caseload'!O100</f>
        <v>1816</v>
      </c>
      <c r="P100" s="3">
        <f>'Medicaid Caseload'!P100</f>
        <v>2526</v>
      </c>
      <c r="Q100" s="3">
        <f>'Medicaid Caseload'!Q100</f>
        <v>33173</v>
      </c>
      <c r="R100" s="218">
        <f>'Medicaid Caseload'!R100</f>
        <v>1343979</v>
      </c>
      <c r="S100" s="5" t="b">
        <f>R100=1343979</f>
        <v>1</v>
      </c>
      <c r="T100" s="465">
        <f t="shared" si="33"/>
        <v>275</v>
      </c>
      <c r="U100" s="5"/>
      <c r="V100" s="179">
        <f t="shared" si="34"/>
        <v>449653</v>
      </c>
      <c r="W100" s="179"/>
      <c r="X100" s="179"/>
      <c r="Y100" s="179"/>
      <c r="Z100" s="179"/>
      <c r="AA100" s="179"/>
      <c r="AB100" s="179"/>
      <c r="AC100" s="179"/>
      <c r="AD100" s="179"/>
      <c r="AE100" s="179"/>
      <c r="AF100" s="179"/>
      <c r="AG100" s="179"/>
      <c r="AH100" s="179"/>
      <c r="AI100" s="179"/>
      <c r="AJ100" s="179"/>
      <c r="AK100" s="179"/>
      <c r="AL100" s="183"/>
      <c r="AM100" s="463"/>
      <c r="AN100" s="463"/>
    </row>
    <row r="101" spans="1:40" s="180" customFormat="1" x14ac:dyDescent="0.2">
      <c r="A101" s="358">
        <f t="shared" si="18"/>
        <v>1</v>
      </c>
      <c r="B101" s="217">
        <v>42767</v>
      </c>
      <c r="C101" s="3">
        <f>'Medicaid Caseload'!C101</f>
        <v>43649</v>
      </c>
      <c r="D101" s="3">
        <f>'Medicaid Caseload'!D101</f>
        <v>11363</v>
      </c>
      <c r="E101" s="3">
        <f>'Medicaid Caseload'!E101</f>
        <v>67879</v>
      </c>
      <c r="F101" s="3">
        <f>'Medicaid Caseload'!F101</f>
        <v>6382</v>
      </c>
      <c r="G101" s="3">
        <f>'Medicaid Caseload'!G101</f>
        <v>158909</v>
      </c>
      <c r="H101" s="3">
        <f>'Medicaid Caseload'!H101</f>
        <v>86966</v>
      </c>
      <c r="I101" s="3">
        <f>'Medicaid Caseload'!I101</f>
        <v>361837</v>
      </c>
      <c r="J101" s="3">
        <f>'Medicaid Caseload'!J101</f>
        <v>285</v>
      </c>
      <c r="K101" s="3">
        <f>'Medicaid Caseload'!K101</f>
        <v>467770</v>
      </c>
      <c r="L101" s="3">
        <f>'Medicaid Caseload'!L101</f>
        <v>64616</v>
      </c>
      <c r="M101" s="3">
        <f>'Medicaid Caseload'!M101</f>
        <v>20235</v>
      </c>
      <c r="N101" s="3">
        <f>'Medicaid Caseload'!N101</f>
        <v>12860</v>
      </c>
      <c r="O101" s="3">
        <f>'Medicaid Caseload'!O101</f>
        <v>1765</v>
      </c>
      <c r="P101" s="3">
        <f>'Medicaid Caseload'!P101</f>
        <v>2406</v>
      </c>
      <c r="Q101" s="3">
        <f>'Medicaid Caseload'!Q101</f>
        <v>33167</v>
      </c>
      <c r="R101" s="218">
        <f>'Medicaid Caseload'!R101</f>
        <v>1340089</v>
      </c>
      <c r="S101" s="5" t="b">
        <f>R101=1340089</f>
        <v>1</v>
      </c>
      <c r="T101" s="465">
        <f t="shared" si="33"/>
        <v>-3890</v>
      </c>
      <c r="U101" s="5"/>
      <c r="V101" s="179">
        <f t="shared" si="34"/>
        <v>448803</v>
      </c>
      <c r="W101" s="179"/>
      <c r="X101" s="179"/>
      <c r="Y101" s="179"/>
      <c r="Z101" s="179"/>
      <c r="AA101" s="179"/>
      <c r="AB101" s="179"/>
      <c r="AC101" s="179"/>
      <c r="AD101" s="179"/>
      <c r="AE101" s="179"/>
      <c r="AF101" s="179"/>
      <c r="AG101" s="179"/>
      <c r="AH101" s="179"/>
      <c r="AI101" s="179"/>
      <c r="AJ101" s="179"/>
      <c r="AK101" s="179"/>
      <c r="AL101" s="183"/>
      <c r="AM101" s="463"/>
      <c r="AN101" s="463"/>
    </row>
    <row r="102" spans="1:40" s="180" customFormat="1" x14ac:dyDescent="0.2">
      <c r="A102" s="358">
        <f t="shared" si="18"/>
        <v>1</v>
      </c>
      <c r="B102" s="217">
        <v>42795</v>
      </c>
      <c r="C102" s="579">
        <f>'Medicaid Caseload'!C102</f>
        <v>44261</v>
      </c>
      <c r="D102" s="579">
        <f>'Medicaid Caseload'!D102</f>
        <v>11397</v>
      </c>
      <c r="E102" s="579">
        <f>'Medicaid Caseload'!E102</f>
        <v>67558</v>
      </c>
      <c r="F102" s="579">
        <f>'Medicaid Caseload'!F102</f>
        <v>6964</v>
      </c>
      <c r="G102" s="579">
        <f>'Medicaid Caseload'!G102</f>
        <v>164569</v>
      </c>
      <c r="H102" s="579">
        <f>'Medicaid Caseload'!H102</f>
        <v>156205</v>
      </c>
      <c r="I102" s="579">
        <f>'Medicaid Caseload'!I102</f>
        <v>296427</v>
      </c>
      <c r="J102" s="579">
        <f>'Medicaid Caseload'!J102</f>
        <v>285</v>
      </c>
      <c r="K102" s="579">
        <f>'Medicaid Caseload'!K102</f>
        <v>465588</v>
      </c>
      <c r="L102" s="579">
        <f>'Medicaid Caseload'!L102</f>
        <v>68165</v>
      </c>
      <c r="M102" s="579">
        <f>'Medicaid Caseload'!M102</f>
        <v>20034</v>
      </c>
      <c r="N102" s="579">
        <f>'Medicaid Caseload'!N102</f>
        <v>12813</v>
      </c>
      <c r="O102" s="579">
        <f>'Medicaid Caseload'!O102</f>
        <v>2392</v>
      </c>
      <c r="P102" s="579">
        <f>'Medicaid Caseload'!P102</f>
        <v>2789</v>
      </c>
      <c r="Q102" s="579">
        <f>'Medicaid Caseload'!Q102</f>
        <v>34322</v>
      </c>
      <c r="R102" s="218">
        <f>SUM(C102:Q102)</f>
        <v>1353769</v>
      </c>
      <c r="S102" s="5" t="b">
        <f>R102=1353769</f>
        <v>1</v>
      </c>
      <c r="T102" s="465">
        <f t="shared" si="33"/>
        <v>13680</v>
      </c>
      <c r="U102" s="5" t="s">
        <v>337</v>
      </c>
      <c r="V102" s="179">
        <f t="shared" si="34"/>
        <v>452632</v>
      </c>
      <c r="W102" s="179"/>
      <c r="X102" s="179"/>
      <c r="Y102" s="179"/>
      <c r="Z102" s="179"/>
      <c r="AA102" s="179"/>
      <c r="AB102" s="179"/>
      <c r="AC102" s="179"/>
      <c r="AD102" s="179"/>
      <c r="AE102" s="179"/>
      <c r="AF102" s="179"/>
      <c r="AG102" s="179"/>
      <c r="AH102" s="179"/>
      <c r="AI102" s="179"/>
      <c r="AJ102" s="179"/>
      <c r="AK102" s="179"/>
      <c r="AL102" s="183"/>
      <c r="AM102" s="463"/>
      <c r="AN102" s="463"/>
    </row>
    <row r="103" spans="1:40" s="180" customFormat="1" x14ac:dyDescent="0.2">
      <c r="A103" s="358">
        <f t="shared" si="18"/>
        <v>1</v>
      </c>
      <c r="B103" s="217">
        <v>42826</v>
      </c>
      <c r="C103" s="579">
        <f>'Medicaid Caseload'!C103</f>
        <v>44637</v>
      </c>
      <c r="D103" s="579">
        <f>'Medicaid Caseload'!D103</f>
        <v>11381</v>
      </c>
      <c r="E103" s="579">
        <f>'Medicaid Caseload'!E103</f>
        <v>67367</v>
      </c>
      <c r="F103" s="579">
        <f>'Medicaid Caseload'!F103</f>
        <v>7018</v>
      </c>
      <c r="G103" s="579">
        <f>'Medicaid Caseload'!G103</f>
        <v>174085</v>
      </c>
      <c r="H103" s="579">
        <f>'Medicaid Caseload'!H103</f>
        <v>141660</v>
      </c>
      <c r="I103" s="579">
        <f>'Medicaid Caseload'!I103</f>
        <v>309197</v>
      </c>
      <c r="J103" s="579">
        <f>'Medicaid Caseload'!J103</f>
        <v>279</v>
      </c>
      <c r="K103" s="579">
        <f>'Medicaid Caseload'!K103</f>
        <v>466511</v>
      </c>
      <c r="L103" s="579">
        <f>'Medicaid Caseload'!L103</f>
        <v>67508</v>
      </c>
      <c r="M103" s="579">
        <f>'Medicaid Caseload'!M103</f>
        <v>20433</v>
      </c>
      <c r="N103" s="579">
        <f>'Medicaid Caseload'!N103</f>
        <v>12786</v>
      </c>
      <c r="O103" s="579">
        <f>'Medicaid Caseload'!O103</f>
        <v>2321</v>
      </c>
      <c r="P103" s="579">
        <f>'Medicaid Caseload'!P103</f>
        <v>2868</v>
      </c>
      <c r="Q103" s="579">
        <f>'Medicaid Caseload'!Q103</f>
        <v>34407</v>
      </c>
      <c r="R103" s="218">
        <f>'Medicaid Caseload'!R103</f>
        <v>1362458</v>
      </c>
      <c r="S103" s="5" t="b">
        <f>R103=1362461</f>
        <v>0</v>
      </c>
      <c r="T103" s="465">
        <f t="shared" si="33"/>
        <v>8689</v>
      </c>
      <c r="U103" s="5"/>
      <c r="V103" s="179">
        <f t="shared" si="34"/>
        <v>450857</v>
      </c>
      <c r="W103" s="179"/>
      <c r="X103" s="179"/>
      <c r="Y103" s="179"/>
      <c r="Z103" s="179"/>
      <c r="AA103" s="179"/>
      <c r="AB103" s="179"/>
      <c r="AC103" s="179"/>
      <c r="AD103" s="179"/>
      <c r="AE103" s="179"/>
      <c r="AF103" s="179"/>
      <c r="AG103" s="179"/>
      <c r="AH103" s="179"/>
      <c r="AI103" s="179"/>
      <c r="AJ103" s="179"/>
      <c r="AK103" s="179"/>
      <c r="AL103" s="183"/>
      <c r="AM103" s="463"/>
      <c r="AN103" s="463"/>
    </row>
    <row r="104" spans="1:40" s="180" customFormat="1" x14ac:dyDescent="0.2">
      <c r="A104" s="358">
        <f t="shared" si="18"/>
        <v>1</v>
      </c>
      <c r="B104" s="217">
        <v>42856</v>
      </c>
      <c r="C104" s="579">
        <f>'Medicaid Caseload'!C104</f>
        <v>44816</v>
      </c>
      <c r="D104" s="579">
        <f>'Medicaid Caseload'!D104</f>
        <v>11401</v>
      </c>
      <c r="E104" s="579">
        <f>'Medicaid Caseload'!E104</f>
        <v>67183</v>
      </c>
      <c r="F104" s="579">
        <f>'Medicaid Caseload'!F104</f>
        <v>7042</v>
      </c>
      <c r="G104" s="579">
        <f>'Medicaid Caseload'!G104</f>
        <v>179878</v>
      </c>
      <c r="H104" s="579">
        <f>'Medicaid Caseload'!H104</f>
        <v>116609</v>
      </c>
      <c r="I104" s="579">
        <f>'Medicaid Caseload'!I104</f>
        <v>333778</v>
      </c>
      <c r="J104" s="579">
        <f>'Medicaid Caseload'!J104</f>
        <v>274</v>
      </c>
      <c r="K104" s="579">
        <f>'Medicaid Caseload'!K104</f>
        <v>467044</v>
      </c>
      <c r="L104" s="579">
        <f>'Medicaid Caseload'!L104</f>
        <v>67596</v>
      </c>
      <c r="M104" s="579">
        <f>'Medicaid Caseload'!M104</f>
        <v>20681</v>
      </c>
      <c r="N104" s="579">
        <f>'Medicaid Caseload'!N104</f>
        <v>12727</v>
      </c>
      <c r="O104" s="579">
        <f>'Medicaid Caseload'!O104</f>
        <v>2276</v>
      </c>
      <c r="P104" s="579">
        <f>'Medicaid Caseload'!P104</f>
        <v>2992</v>
      </c>
      <c r="Q104" s="579">
        <f>'Medicaid Caseload'!Q104</f>
        <v>34806</v>
      </c>
      <c r="R104" s="218">
        <f>'Medicaid Caseload'!R104</f>
        <v>1369103</v>
      </c>
      <c r="S104" s="5" t="b">
        <f>R104=1369104</f>
        <v>0</v>
      </c>
      <c r="T104" s="465">
        <f t="shared" si="33"/>
        <v>6645</v>
      </c>
      <c r="U104" s="5"/>
      <c r="V104" s="179">
        <f>SUM(H104:I104)</f>
        <v>450387</v>
      </c>
      <c r="W104" s="179">
        <f>V104-I91-H91</f>
        <v>10271</v>
      </c>
      <c r="X104" s="179"/>
      <c r="Y104" s="179"/>
      <c r="Z104" s="179"/>
      <c r="AA104" s="179"/>
      <c r="AB104" s="179"/>
      <c r="AC104" s="179"/>
      <c r="AD104" s="179"/>
      <c r="AE104" s="179"/>
      <c r="AF104" s="179"/>
      <c r="AG104" s="179"/>
      <c r="AH104" s="179"/>
      <c r="AI104" s="179"/>
      <c r="AJ104" s="179"/>
      <c r="AK104" s="179"/>
      <c r="AL104" s="183"/>
      <c r="AM104" s="463"/>
      <c r="AN104" s="463"/>
    </row>
    <row r="105" spans="1:40" s="180" customFormat="1" x14ac:dyDescent="0.2">
      <c r="A105" s="358">
        <f t="shared" si="18"/>
        <v>1</v>
      </c>
      <c r="B105" s="217">
        <v>42887</v>
      </c>
      <c r="C105" s="579">
        <f>'Medicaid Caseload'!C105</f>
        <v>44814</v>
      </c>
      <c r="D105" s="579">
        <f>'Medicaid Caseload'!D105</f>
        <v>11420</v>
      </c>
      <c r="E105" s="579">
        <f>'Medicaid Caseload'!E105</f>
        <v>67109</v>
      </c>
      <c r="F105" s="579">
        <f>'Medicaid Caseload'!F105</f>
        <v>7102</v>
      </c>
      <c r="G105" s="579">
        <f>'Medicaid Caseload'!G105</f>
        <v>182132</v>
      </c>
      <c r="H105" s="579">
        <f>'Medicaid Caseload'!H105</f>
        <v>82613</v>
      </c>
      <c r="I105" s="579">
        <f>'Medicaid Caseload'!I105</f>
        <v>368291</v>
      </c>
      <c r="J105" s="579">
        <f>'Medicaid Caseload'!J105</f>
        <v>264</v>
      </c>
      <c r="K105" s="579">
        <f>'Medicaid Caseload'!K105</f>
        <v>462931</v>
      </c>
      <c r="L105" s="579">
        <f>'Medicaid Caseload'!L105</f>
        <v>66503</v>
      </c>
      <c r="M105" s="579">
        <f>'Medicaid Caseload'!M105</f>
        <v>20557</v>
      </c>
      <c r="N105" s="579">
        <f>'Medicaid Caseload'!N105</f>
        <v>12236</v>
      </c>
      <c r="O105" s="579">
        <f>'Medicaid Caseload'!O105</f>
        <v>2229</v>
      </c>
      <c r="P105" s="579">
        <f>'Medicaid Caseload'!P105</f>
        <v>2941</v>
      </c>
      <c r="Q105" s="579">
        <f>'Medicaid Caseload'!Q105</f>
        <v>34798</v>
      </c>
      <c r="R105" s="218">
        <f>'Medicaid Caseload'!R105</f>
        <v>1365940</v>
      </c>
      <c r="S105" s="5" t="b">
        <f>R105=1365940</f>
        <v>1</v>
      </c>
      <c r="T105" s="465">
        <f t="shared" si="33"/>
        <v>-3163</v>
      </c>
      <c r="U105" s="5"/>
      <c r="V105" s="179">
        <f>SUM(H105:I105)</f>
        <v>450904</v>
      </c>
      <c r="W105" s="179"/>
      <c r="X105" s="179"/>
      <c r="Y105" s="179"/>
      <c r="Z105" s="179"/>
      <c r="AA105" s="179"/>
      <c r="AB105" s="179"/>
      <c r="AC105" s="179"/>
      <c r="AD105" s="179"/>
      <c r="AE105" s="179"/>
      <c r="AF105" s="179"/>
      <c r="AG105" s="179"/>
      <c r="AH105" s="179"/>
      <c r="AI105" s="179"/>
      <c r="AJ105" s="179"/>
      <c r="AK105" s="179"/>
      <c r="AL105" s="183"/>
      <c r="AM105" s="463"/>
      <c r="AN105" s="463"/>
    </row>
    <row r="106" spans="1:40" s="180" customFormat="1" x14ac:dyDescent="0.2">
      <c r="A106" s="358">
        <f t="shared" si="18"/>
        <v>1</v>
      </c>
      <c r="B106" s="221" t="s">
        <v>360</v>
      </c>
      <c r="C106" s="7">
        <f>'Medicaid Caseload'!C106</f>
        <v>43941</v>
      </c>
      <c r="D106" s="7">
        <f>'Medicaid Caseload'!D106</f>
        <v>11241</v>
      </c>
      <c r="E106" s="7">
        <f>'Medicaid Caseload'!E106</f>
        <v>67619</v>
      </c>
      <c r="F106" s="7">
        <f>'Medicaid Caseload'!F106</f>
        <v>6251</v>
      </c>
      <c r="G106" s="7">
        <f>'Medicaid Caseload'!G106</f>
        <v>161422</v>
      </c>
      <c r="H106" s="7">
        <f>'Medicaid Caseload'!H106</f>
        <v>101059</v>
      </c>
      <c r="I106" s="7">
        <f>'Medicaid Caseload'!I106</f>
        <v>347848</v>
      </c>
      <c r="J106" s="7">
        <f>'Medicaid Caseload'!J106</f>
        <v>295</v>
      </c>
      <c r="K106" s="7">
        <f>'Medicaid Caseload'!K106</f>
        <v>469297</v>
      </c>
      <c r="L106" s="7">
        <f>'Medicaid Caseload'!L106</f>
        <v>64906</v>
      </c>
      <c r="M106" s="7">
        <f>'Medicaid Caseload'!M106</f>
        <v>20310</v>
      </c>
      <c r="N106" s="7">
        <f>'Medicaid Caseload'!N106</f>
        <v>13567</v>
      </c>
      <c r="O106" s="7">
        <f>'Medicaid Caseload'!O106</f>
        <v>1968</v>
      </c>
      <c r="P106" s="7">
        <f>'Medicaid Caseload'!P106</f>
        <v>2640</v>
      </c>
      <c r="Q106" s="7">
        <f>'Medicaid Caseload'!Q106</f>
        <v>33809</v>
      </c>
      <c r="R106" s="222">
        <f>'Medicaid Caseload'!R106</f>
        <v>1346173</v>
      </c>
      <c r="S106" s="5" t="b">
        <f>ROUND(R106,0)=ROUND(AVERAGE(R94:R105),0)</f>
        <v>0</v>
      </c>
      <c r="T106" s="465">
        <f t="shared" si="33"/>
        <v>-19767</v>
      </c>
      <c r="U106" s="5"/>
      <c r="V106" s="179"/>
      <c r="W106" s="179"/>
      <c r="X106" s="179"/>
      <c r="Y106" s="179"/>
      <c r="Z106" s="179"/>
      <c r="AA106" s="179"/>
      <c r="AB106" s="179"/>
      <c r="AC106" s="179"/>
      <c r="AD106" s="179"/>
      <c r="AE106" s="179"/>
      <c r="AF106" s="179"/>
      <c r="AG106" s="179"/>
      <c r="AH106" s="179"/>
      <c r="AI106" s="179"/>
      <c r="AJ106" s="179"/>
      <c r="AK106" s="179"/>
      <c r="AL106" s="183"/>
      <c r="AM106" s="463"/>
      <c r="AN106" s="463"/>
    </row>
    <row r="107" spans="1:40" s="180" customFormat="1" x14ac:dyDescent="0.2">
      <c r="A107" s="358">
        <f t="shared" ref="A107:A118" si="35">IF(C107="",0,1)</f>
        <v>1</v>
      </c>
      <c r="B107" s="217">
        <v>42917</v>
      </c>
      <c r="C107" s="579">
        <f>'Medicaid Caseload'!C107</f>
        <v>44896</v>
      </c>
      <c r="D107" s="579">
        <f>'Medicaid Caseload'!D107</f>
        <v>11410</v>
      </c>
      <c r="E107" s="579">
        <f>'Medicaid Caseload'!E107</f>
        <v>67009</v>
      </c>
      <c r="F107" s="579">
        <f>'Medicaid Caseload'!F107</f>
        <v>7274</v>
      </c>
      <c r="G107" s="579">
        <f>'Medicaid Caseload'!G107</f>
        <v>181640</v>
      </c>
      <c r="H107" s="579">
        <f>'Medicaid Caseload'!H107</f>
        <v>82329</v>
      </c>
      <c r="I107" s="579">
        <f>'Medicaid Caseload'!I107</f>
        <v>370674</v>
      </c>
      <c r="J107" s="579">
        <f>'Medicaid Caseload'!J107</f>
        <v>150</v>
      </c>
      <c r="K107" s="579">
        <f>'Medicaid Caseload'!K107</f>
        <v>457780</v>
      </c>
      <c r="L107" s="579">
        <f>'Medicaid Caseload'!L107</f>
        <v>65467</v>
      </c>
      <c r="M107" s="579">
        <f>'Medicaid Caseload'!M107</f>
        <v>20651</v>
      </c>
      <c r="N107" s="579">
        <f>'Medicaid Caseload'!N107</f>
        <v>11545</v>
      </c>
      <c r="O107" s="579">
        <f>'Medicaid Caseload'!O107</f>
        <v>2177</v>
      </c>
      <c r="P107" s="579">
        <f>'Medicaid Caseload'!P107</f>
        <v>2925</v>
      </c>
      <c r="Q107" s="579">
        <f>'Medicaid Caseload'!Q107</f>
        <v>34833</v>
      </c>
      <c r="R107" s="581">
        <f>'Medicaid Caseload'!R107</f>
        <v>1360760</v>
      </c>
      <c r="S107" s="5" t="b">
        <f>R107=1360760</f>
        <v>1</v>
      </c>
      <c r="T107" s="465">
        <f t="shared" si="33"/>
        <v>14587</v>
      </c>
      <c r="U107" s="5"/>
      <c r="V107" s="179"/>
      <c r="W107" s="179"/>
      <c r="X107" s="179"/>
      <c r="Y107" s="179"/>
      <c r="Z107" s="179"/>
      <c r="AA107" s="179"/>
      <c r="AB107" s="179"/>
      <c r="AC107" s="179"/>
      <c r="AD107" s="179"/>
      <c r="AE107" s="179"/>
      <c r="AF107" s="179"/>
      <c r="AG107" s="179"/>
      <c r="AH107" s="179"/>
      <c r="AI107" s="179"/>
      <c r="AJ107" s="179"/>
      <c r="AK107" s="179"/>
      <c r="AL107" s="183"/>
      <c r="AM107" s="463"/>
      <c r="AN107" s="463"/>
    </row>
    <row r="108" spans="1:40" s="180" customFormat="1" x14ac:dyDescent="0.2">
      <c r="A108" s="358">
        <f t="shared" si="35"/>
        <v>1</v>
      </c>
      <c r="B108" s="217">
        <v>42948</v>
      </c>
      <c r="C108" s="579">
        <f>'Medicaid Caseload'!C108</f>
        <v>45233</v>
      </c>
      <c r="D108" s="579">
        <f>'Medicaid Caseload'!D108</f>
        <v>11486</v>
      </c>
      <c r="E108" s="579">
        <f>'Medicaid Caseload'!E108</f>
        <v>67079</v>
      </c>
      <c r="F108" s="579">
        <f>'Medicaid Caseload'!F108</f>
        <v>7366</v>
      </c>
      <c r="G108" s="579">
        <f>'Medicaid Caseload'!G108</f>
        <v>182123</v>
      </c>
      <c r="H108" s="579">
        <f>'Medicaid Caseload'!H108</f>
        <v>83011</v>
      </c>
      <c r="I108" s="579">
        <f>'Medicaid Caseload'!I108</f>
        <v>374722</v>
      </c>
      <c r="J108" s="579">
        <f>'Medicaid Caseload'!J108</f>
        <v>145</v>
      </c>
      <c r="K108" s="579">
        <f>'Medicaid Caseload'!K108</f>
        <v>457326</v>
      </c>
      <c r="L108" s="579">
        <f>'Medicaid Caseload'!L108</f>
        <v>66362</v>
      </c>
      <c r="M108" s="579">
        <f>'Medicaid Caseload'!M108</f>
        <v>20804</v>
      </c>
      <c r="N108" s="579">
        <f>'Medicaid Caseload'!N108</f>
        <v>11069</v>
      </c>
      <c r="O108" s="579">
        <f>'Medicaid Caseload'!O108</f>
        <v>2119</v>
      </c>
      <c r="P108" s="579">
        <f>'Medicaid Caseload'!P108</f>
        <v>2957</v>
      </c>
      <c r="Q108" s="579">
        <f>'Medicaid Caseload'!Q108</f>
        <v>35078</v>
      </c>
      <c r="R108" s="581">
        <f>'Medicaid Caseload'!R108</f>
        <v>1366880</v>
      </c>
      <c r="S108" s="5" t="b">
        <f>R108=1366880</f>
        <v>1</v>
      </c>
      <c r="T108" s="465">
        <f t="shared" si="33"/>
        <v>6120</v>
      </c>
      <c r="U108" s="5"/>
      <c r="V108" s="179"/>
      <c r="W108" s="179"/>
      <c r="X108" s="179"/>
      <c r="Y108" s="179"/>
      <c r="Z108" s="179"/>
      <c r="AA108" s="179"/>
      <c r="AB108" s="179"/>
      <c r="AC108" s="179"/>
      <c r="AD108" s="179"/>
      <c r="AE108" s="179"/>
      <c r="AF108" s="179"/>
      <c r="AG108" s="179"/>
      <c r="AH108" s="179"/>
      <c r="AI108" s="179"/>
      <c r="AJ108" s="179"/>
      <c r="AK108" s="179"/>
      <c r="AL108" s="183"/>
      <c r="AM108" s="463"/>
      <c r="AN108" s="463"/>
    </row>
    <row r="109" spans="1:40" s="180" customFormat="1" x14ac:dyDescent="0.2">
      <c r="A109" s="358">
        <f t="shared" si="35"/>
        <v>0</v>
      </c>
      <c r="B109" s="217">
        <v>42979</v>
      </c>
      <c r="C109" s="579"/>
      <c r="D109" s="579"/>
      <c r="E109" s="579"/>
      <c r="F109" s="579"/>
      <c r="G109" s="579"/>
      <c r="H109" s="613"/>
      <c r="I109" s="613"/>
      <c r="J109" s="579"/>
      <c r="K109" s="579"/>
      <c r="L109" s="579"/>
      <c r="M109" s="579"/>
      <c r="N109" s="579"/>
      <c r="O109" s="579"/>
      <c r="P109" s="579"/>
      <c r="Q109" s="579"/>
      <c r="R109" s="218"/>
      <c r="S109" s="5"/>
      <c r="T109" s="465"/>
      <c r="U109" s="5"/>
      <c r="V109" s="179"/>
      <c r="W109" s="179"/>
      <c r="X109" s="179"/>
      <c r="Y109" s="179"/>
      <c r="Z109" s="179"/>
      <c r="AA109" s="179"/>
      <c r="AB109" s="179"/>
      <c r="AC109" s="179"/>
      <c r="AD109" s="179"/>
      <c r="AE109" s="179"/>
      <c r="AF109" s="179"/>
      <c r="AG109" s="179"/>
      <c r="AH109" s="179"/>
      <c r="AI109" s="179"/>
      <c r="AJ109" s="179"/>
      <c r="AK109" s="179"/>
      <c r="AL109" s="183"/>
      <c r="AM109" s="463"/>
      <c r="AN109" s="463"/>
    </row>
    <row r="110" spans="1:40" s="180" customFormat="1" x14ac:dyDescent="0.2">
      <c r="A110" s="358">
        <f t="shared" si="35"/>
        <v>0</v>
      </c>
      <c r="B110" s="217">
        <v>43009</v>
      </c>
      <c r="C110" s="579"/>
      <c r="D110" s="579"/>
      <c r="E110" s="579"/>
      <c r="F110" s="579"/>
      <c r="G110" s="579"/>
      <c r="H110" s="613"/>
      <c r="I110" s="613"/>
      <c r="J110" s="579"/>
      <c r="K110" s="579"/>
      <c r="L110" s="579"/>
      <c r="M110" s="579"/>
      <c r="N110" s="579"/>
      <c r="O110" s="579"/>
      <c r="P110" s="579"/>
      <c r="Q110" s="579"/>
      <c r="R110" s="218"/>
      <c r="S110" s="5"/>
      <c r="T110" s="465"/>
      <c r="U110" s="5"/>
      <c r="V110" s="179"/>
      <c r="W110" s="179"/>
      <c r="X110" s="179"/>
      <c r="Y110" s="179"/>
      <c r="Z110" s="179"/>
      <c r="AA110" s="179"/>
      <c r="AB110" s="179"/>
      <c r="AC110" s="179"/>
      <c r="AD110" s="179"/>
      <c r="AE110" s="179"/>
      <c r="AF110" s="179"/>
      <c r="AG110" s="179"/>
      <c r="AH110" s="179"/>
      <c r="AI110" s="179"/>
      <c r="AJ110" s="179"/>
      <c r="AK110" s="179"/>
      <c r="AL110" s="183"/>
      <c r="AM110" s="463"/>
      <c r="AN110" s="463"/>
    </row>
    <row r="111" spans="1:40" s="180" customFormat="1" x14ac:dyDescent="0.2">
      <c r="A111" s="358">
        <f t="shared" si="35"/>
        <v>0</v>
      </c>
      <c r="B111" s="217">
        <v>43040</v>
      </c>
      <c r="C111" s="579"/>
      <c r="D111" s="579"/>
      <c r="E111" s="579"/>
      <c r="F111" s="579"/>
      <c r="G111" s="579"/>
      <c r="H111" s="613"/>
      <c r="I111" s="613"/>
      <c r="J111" s="579"/>
      <c r="K111" s="579"/>
      <c r="L111" s="579"/>
      <c r="M111" s="579"/>
      <c r="N111" s="579"/>
      <c r="O111" s="579"/>
      <c r="P111" s="579"/>
      <c r="Q111" s="579"/>
      <c r="R111" s="218"/>
      <c r="S111" s="5"/>
      <c r="T111" s="465"/>
      <c r="U111" s="5"/>
      <c r="V111" s="179"/>
      <c r="W111" s="179"/>
      <c r="X111" s="179"/>
      <c r="Y111" s="179"/>
      <c r="Z111" s="179"/>
      <c r="AA111" s="179"/>
      <c r="AB111" s="179"/>
      <c r="AC111" s="179"/>
      <c r="AD111" s="179"/>
      <c r="AE111" s="179"/>
      <c r="AF111" s="179"/>
      <c r="AG111" s="179"/>
      <c r="AH111" s="179"/>
      <c r="AI111" s="179"/>
      <c r="AJ111" s="179"/>
      <c r="AK111" s="179"/>
      <c r="AL111" s="183"/>
      <c r="AM111" s="463"/>
      <c r="AN111" s="463"/>
    </row>
    <row r="112" spans="1:40" s="180" customFormat="1" x14ac:dyDescent="0.2">
      <c r="A112" s="358">
        <f t="shared" si="35"/>
        <v>0</v>
      </c>
      <c r="B112" s="217">
        <v>43070</v>
      </c>
      <c r="C112" s="579"/>
      <c r="D112" s="579"/>
      <c r="E112" s="579"/>
      <c r="F112" s="579"/>
      <c r="G112" s="579"/>
      <c r="H112" s="613"/>
      <c r="I112" s="613"/>
      <c r="J112" s="579"/>
      <c r="K112" s="579"/>
      <c r="L112" s="579"/>
      <c r="M112" s="579"/>
      <c r="N112" s="579"/>
      <c r="O112" s="579"/>
      <c r="P112" s="579"/>
      <c r="Q112" s="579"/>
      <c r="R112" s="218"/>
      <c r="S112" s="5"/>
      <c r="T112" s="465"/>
      <c r="U112" s="5"/>
      <c r="V112" s="179"/>
      <c r="W112" s="179"/>
      <c r="X112" s="179"/>
      <c r="Y112" s="179"/>
      <c r="Z112" s="179"/>
      <c r="AA112" s="179"/>
      <c r="AB112" s="179"/>
      <c r="AC112" s="179"/>
      <c r="AD112" s="179"/>
      <c r="AE112" s="179"/>
      <c r="AF112" s="179"/>
      <c r="AG112" s="179"/>
      <c r="AH112" s="179"/>
      <c r="AI112" s="179"/>
      <c r="AJ112" s="179"/>
      <c r="AK112" s="179"/>
      <c r="AL112" s="183"/>
      <c r="AM112" s="463"/>
      <c r="AN112" s="463"/>
    </row>
    <row r="113" spans="1:45" s="180" customFormat="1" x14ac:dyDescent="0.2">
      <c r="A113" s="358">
        <f t="shared" si="35"/>
        <v>0</v>
      </c>
      <c r="B113" s="217">
        <v>43101</v>
      </c>
      <c r="C113" s="579"/>
      <c r="D113" s="579"/>
      <c r="E113" s="579"/>
      <c r="F113" s="579"/>
      <c r="G113" s="579"/>
      <c r="H113" s="613"/>
      <c r="I113" s="613"/>
      <c r="J113" s="579"/>
      <c r="K113" s="579"/>
      <c r="L113" s="579"/>
      <c r="M113" s="579"/>
      <c r="N113" s="579"/>
      <c r="O113" s="579"/>
      <c r="P113" s="579"/>
      <c r="Q113" s="579"/>
      <c r="R113" s="218"/>
      <c r="S113" s="5"/>
      <c r="T113" s="465"/>
      <c r="U113" s="5"/>
      <c r="V113" s="179"/>
      <c r="W113" s="179"/>
      <c r="X113" s="179"/>
      <c r="Y113" s="179"/>
      <c r="Z113" s="179"/>
      <c r="AA113" s="179"/>
      <c r="AB113" s="179"/>
      <c r="AC113" s="179"/>
      <c r="AD113" s="179"/>
      <c r="AE113" s="179"/>
      <c r="AF113" s="179"/>
      <c r="AG113" s="179"/>
      <c r="AH113" s="179"/>
      <c r="AI113" s="179"/>
      <c r="AJ113" s="179"/>
      <c r="AK113" s="179"/>
      <c r="AL113" s="183"/>
      <c r="AM113" s="463"/>
      <c r="AN113" s="463"/>
    </row>
    <row r="114" spans="1:45" s="180" customFormat="1" x14ac:dyDescent="0.2">
      <c r="A114" s="358">
        <f t="shared" si="35"/>
        <v>0</v>
      </c>
      <c r="B114" s="217">
        <v>43132</v>
      </c>
      <c r="C114" s="579"/>
      <c r="D114" s="579"/>
      <c r="E114" s="579"/>
      <c r="F114" s="579"/>
      <c r="G114" s="579"/>
      <c r="H114" s="613"/>
      <c r="I114" s="613"/>
      <c r="J114" s="579"/>
      <c r="K114" s="579"/>
      <c r="L114" s="579"/>
      <c r="M114" s="579"/>
      <c r="N114" s="579"/>
      <c r="O114" s="579"/>
      <c r="P114" s="579"/>
      <c r="Q114" s="579"/>
      <c r="R114" s="218"/>
      <c r="S114" s="5"/>
      <c r="T114" s="465"/>
      <c r="U114" s="5"/>
      <c r="V114" s="179"/>
      <c r="W114" s="179"/>
      <c r="X114" s="179"/>
      <c r="Y114" s="179"/>
      <c r="Z114" s="179"/>
      <c r="AA114" s="179"/>
      <c r="AB114" s="179"/>
      <c r="AC114" s="179"/>
      <c r="AD114" s="179"/>
      <c r="AE114" s="179"/>
      <c r="AF114" s="179"/>
      <c r="AG114" s="179"/>
      <c r="AH114" s="179"/>
      <c r="AI114" s="179"/>
      <c r="AJ114" s="179"/>
      <c r="AK114" s="179"/>
      <c r="AL114" s="183"/>
      <c r="AM114" s="463"/>
      <c r="AN114" s="463"/>
    </row>
    <row r="115" spans="1:45" s="180" customFormat="1" x14ac:dyDescent="0.2">
      <c r="A115" s="358">
        <f t="shared" si="35"/>
        <v>0</v>
      </c>
      <c r="B115" s="217">
        <v>43160</v>
      </c>
      <c r="C115" s="579"/>
      <c r="D115" s="579"/>
      <c r="E115" s="579"/>
      <c r="F115" s="579"/>
      <c r="G115" s="579"/>
      <c r="H115" s="613"/>
      <c r="I115" s="613"/>
      <c r="J115" s="579"/>
      <c r="K115" s="579"/>
      <c r="L115" s="579"/>
      <c r="M115" s="579"/>
      <c r="N115" s="579"/>
      <c r="O115" s="579"/>
      <c r="P115" s="579"/>
      <c r="Q115" s="579"/>
      <c r="R115" s="218"/>
      <c r="S115" s="5"/>
      <c r="T115" s="465"/>
      <c r="U115" s="5"/>
      <c r="V115" s="179"/>
      <c r="W115" s="179"/>
      <c r="X115" s="179"/>
      <c r="Y115" s="179"/>
      <c r="Z115" s="179"/>
      <c r="AA115" s="179"/>
      <c r="AB115" s="179"/>
      <c r="AC115" s="179"/>
      <c r="AD115" s="179"/>
      <c r="AE115" s="179"/>
      <c r="AF115" s="179"/>
      <c r="AG115" s="179"/>
      <c r="AH115" s="179"/>
      <c r="AI115" s="179"/>
      <c r="AJ115" s="179"/>
      <c r="AK115" s="179"/>
      <c r="AL115" s="183"/>
      <c r="AM115" s="463"/>
      <c r="AN115" s="463"/>
    </row>
    <row r="116" spans="1:45" s="180" customFormat="1" x14ac:dyDescent="0.2">
      <c r="A116" s="358">
        <f t="shared" si="35"/>
        <v>0</v>
      </c>
      <c r="B116" s="217">
        <v>43191</v>
      </c>
      <c r="C116" s="579"/>
      <c r="D116" s="579"/>
      <c r="E116" s="579"/>
      <c r="F116" s="579"/>
      <c r="G116" s="579"/>
      <c r="H116" s="613"/>
      <c r="I116" s="613"/>
      <c r="J116" s="579"/>
      <c r="K116" s="579"/>
      <c r="L116" s="579"/>
      <c r="M116" s="579"/>
      <c r="N116" s="579"/>
      <c r="O116" s="579"/>
      <c r="P116" s="579"/>
      <c r="Q116" s="579"/>
      <c r="R116" s="218"/>
      <c r="S116" s="5"/>
      <c r="T116" s="465"/>
      <c r="U116" s="5"/>
      <c r="V116" s="179"/>
      <c r="W116" s="179"/>
      <c r="X116" s="179"/>
      <c r="Y116" s="179"/>
      <c r="Z116" s="179"/>
      <c r="AA116" s="179"/>
      <c r="AB116" s="179"/>
      <c r="AC116" s="179"/>
      <c r="AD116" s="179"/>
      <c r="AE116" s="179"/>
      <c r="AF116" s="179"/>
      <c r="AG116" s="179"/>
      <c r="AH116" s="179"/>
      <c r="AI116" s="179"/>
      <c r="AJ116" s="179"/>
      <c r="AK116" s="179"/>
      <c r="AL116" s="183"/>
      <c r="AM116" s="463"/>
      <c r="AN116" s="463"/>
    </row>
    <row r="117" spans="1:45" s="180" customFormat="1" x14ac:dyDescent="0.2">
      <c r="A117" s="358">
        <f t="shared" si="35"/>
        <v>0</v>
      </c>
      <c r="B117" s="217">
        <v>43221</v>
      </c>
      <c r="C117" s="579"/>
      <c r="D117" s="579"/>
      <c r="E117" s="579"/>
      <c r="F117" s="579"/>
      <c r="G117" s="579"/>
      <c r="H117" s="613"/>
      <c r="I117" s="613"/>
      <c r="J117" s="579"/>
      <c r="K117" s="579"/>
      <c r="L117" s="579"/>
      <c r="M117" s="579"/>
      <c r="N117" s="579"/>
      <c r="O117" s="579"/>
      <c r="P117" s="579"/>
      <c r="Q117" s="579"/>
      <c r="R117" s="218"/>
      <c r="S117" s="5"/>
      <c r="T117" s="465"/>
      <c r="U117" s="5"/>
      <c r="V117" s="179"/>
      <c r="W117" s="179"/>
      <c r="X117" s="179"/>
      <c r="Y117" s="179"/>
      <c r="Z117" s="179"/>
      <c r="AA117" s="179"/>
      <c r="AB117" s="179"/>
      <c r="AC117" s="179"/>
      <c r="AD117" s="179"/>
      <c r="AE117" s="179"/>
      <c r="AF117" s="179"/>
      <c r="AG117" s="179"/>
      <c r="AH117" s="179"/>
      <c r="AI117" s="179"/>
      <c r="AJ117" s="179"/>
      <c r="AK117" s="179"/>
      <c r="AL117" s="183"/>
      <c r="AM117" s="463"/>
      <c r="AN117" s="463"/>
    </row>
    <row r="118" spans="1:45" s="180" customFormat="1" x14ac:dyDescent="0.2">
      <c r="A118" s="358">
        <f t="shared" si="35"/>
        <v>0</v>
      </c>
      <c r="B118" s="217">
        <v>43252</v>
      </c>
      <c r="C118" s="579"/>
      <c r="D118" s="579"/>
      <c r="E118" s="579"/>
      <c r="F118" s="579"/>
      <c r="G118" s="579"/>
      <c r="H118" s="613"/>
      <c r="I118" s="613"/>
      <c r="J118" s="579"/>
      <c r="K118" s="579"/>
      <c r="L118" s="579"/>
      <c r="M118" s="579"/>
      <c r="N118" s="579"/>
      <c r="O118" s="579"/>
      <c r="P118" s="579"/>
      <c r="Q118" s="579"/>
      <c r="R118" s="218"/>
      <c r="S118" s="5"/>
      <c r="T118" s="465"/>
      <c r="U118" s="5"/>
      <c r="V118" s="179"/>
      <c r="W118" s="179"/>
      <c r="X118" s="179"/>
      <c r="Y118" s="179"/>
      <c r="Z118" s="179"/>
      <c r="AA118" s="179"/>
      <c r="AB118" s="179"/>
      <c r="AC118" s="179"/>
      <c r="AD118" s="179"/>
      <c r="AE118" s="179"/>
      <c r="AF118" s="179"/>
      <c r="AG118" s="179"/>
      <c r="AH118" s="179"/>
      <c r="AI118" s="179"/>
      <c r="AJ118" s="179"/>
      <c r="AK118" s="179"/>
      <c r="AL118" s="183"/>
      <c r="AM118" s="463"/>
      <c r="AN118" s="463"/>
    </row>
    <row r="119" spans="1:45" s="180" customFormat="1" x14ac:dyDescent="0.2">
      <c r="A119" s="358"/>
      <c r="B119" s="217"/>
      <c r="C119" s="3"/>
      <c r="D119" s="3"/>
      <c r="E119" s="3"/>
      <c r="F119" s="3"/>
      <c r="G119" s="3"/>
      <c r="H119" s="3"/>
      <c r="I119" s="3"/>
      <c r="J119" s="3"/>
      <c r="K119" s="3"/>
      <c r="L119" s="3"/>
      <c r="M119" s="3"/>
      <c r="N119" s="3"/>
      <c r="O119" s="3"/>
      <c r="P119" s="3"/>
      <c r="Q119" s="3"/>
      <c r="R119" s="218"/>
      <c r="S119" s="5"/>
      <c r="T119" s="465"/>
      <c r="U119" s="5"/>
      <c r="V119" s="179"/>
      <c r="W119" s="179"/>
      <c r="X119" s="179"/>
      <c r="Y119" s="179"/>
      <c r="Z119" s="179"/>
      <c r="AA119" s="179"/>
      <c r="AB119" s="179"/>
      <c r="AC119" s="179"/>
      <c r="AD119" s="179"/>
      <c r="AE119" s="179"/>
      <c r="AF119" s="179"/>
      <c r="AG119" s="179"/>
      <c r="AH119" s="179"/>
      <c r="AI119" s="179"/>
      <c r="AJ119" s="179"/>
      <c r="AK119" s="179"/>
      <c r="AL119" s="183"/>
      <c r="AM119" s="463"/>
      <c r="AN119" s="463"/>
    </row>
    <row r="120" spans="1:45" s="180" customFormat="1" x14ac:dyDescent="0.25">
      <c r="B120" s="225" t="s">
        <v>361</v>
      </c>
      <c r="C120" s="5">
        <f>ROUND(+AVERAGE(C107:C118),0)</f>
        <v>45065</v>
      </c>
      <c r="D120" s="5">
        <f t="shared" ref="D120:I120" si="36">ROUND(+AVERAGE(D107:D118),0)</f>
        <v>11448</v>
      </c>
      <c r="E120" s="5">
        <f t="shared" si="36"/>
        <v>67044</v>
      </c>
      <c r="F120" s="5">
        <f t="shared" si="36"/>
        <v>7320</v>
      </c>
      <c r="G120" s="5">
        <f t="shared" si="36"/>
        <v>181882</v>
      </c>
      <c r="H120" s="5">
        <f t="shared" si="36"/>
        <v>82670</v>
      </c>
      <c r="I120" s="5">
        <f t="shared" si="36"/>
        <v>372698</v>
      </c>
      <c r="J120" s="5">
        <f>ROUND(+AVERAGE(J107:J118),0)</f>
        <v>148</v>
      </c>
      <c r="K120" s="5">
        <f t="shared" ref="K120:Q120" si="37">ROUND(+AVERAGE(K107:K118),0)</f>
        <v>457553</v>
      </c>
      <c r="L120" s="5">
        <f t="shared" si="37"/>
        <v>65915</v>
      </c>
      <c r="M120" s="5">
        <f t="shared" si="37"/>
        <v>20728</v>
      </c>
      <c r="N120" s="5">
        <f t="shared" si="37"/>
        <v>11307</v>
      </c>
      <c r="O120" s="5">
        <f t="shared" si="37"/>
        <v>2148</v>
      </c>
      <c r="P120" s="5">
        <f t="shared" si="37"/>
        <v>2941</v>
      </c>
      <c r="Q120" s="5">
        <f t="shared" si="37"/>
        <v>34956</v>
      </c>
      <c r="R120" s="226">
        <f>ROUND(SUM(C120:Q120),0)</f>
        <v>1363823</v>
      </c>
      <c r="S120" s="5" t="b">
        <f>R120=ROUND(AVERAGE(R107:R118),0)</f>
        <v>0</v>
      </c>
      <c r="T120" s="5"/>
      <c r="U120" s="5"/>
      <c r="V120" s="179"/>
      <c r="W120" s="179"/>
      <c r="X120" s="179"/>
      <c r="Y120" s="179"/>
      <c r="Z120" s="179"/>
      <c r="AA120" s="179"/>
      <c r="AB120" s="179">
        <f t="shared" ref="AB120:AL120" si="38">I68-I66</f>
        <v>7652</v>
      </c>
      <c r="AC120" s="179">
        <f t="shared" si="38"/>
        <v>-5</v>
      </c>
      <c r="AD120" s="179">
        <f t="shared" si="38"/>
        <v>5251</v>
      </c>
      <c r="AE120" s="179">
        <f t="shared" si="38"/>
        <v>796</v>
      </c>
      <c r="AF120" s="179">
        <f t="shared" si="38"/>
        <v>-78</v>
      </c>
      <c r="AG120" s="179">
        <f t="shared" si="38"/>
        <v>31</v>
      </c>
      <c r="AH120" s="179">
        <f t="shared" si="38"/>
        <v>38</v>
      </c>
      <c r="AI120" s="179">
        <f t="shared" si="38"/>
        <v>-270</v>
      </c>
      <c r="AJ120" s="179">
        <f t="shared" si="38"/>
        <v>287</v>
      </c>
      <c r="AK120" s="179">
        <f t="shared" si="38"/>
        <v>20866</v>
      </c>
      <c r="AL120" s="179">
        <f t="shared" si="38"/>
        <v>0</v>
      </c>
      <c r="AM120" s="463"/>
      <c r="AN120" s="463"/>
    </row>
    <row r="121" spans="1:45" s="180" customFormat="1" ht="15.75" customHeight="1" x14ac:dyDescent="0.25">
      <c r="B121" s="225" t="s">
        <v>362</v>
      </c>
      <c r="C121" s="5">
        <f>'Medicaid Caseload'!C121</f>
        <v>45945</v>
      </c>
      <c r="D121" s="5">
        <f>'Medicaid Caseload'!D121</f>
        <v>11742</v>
      </c>
      <c r="E121" s="5">
        <f>'Medicaid Caseload'!E121</f>
        <v>67138</v>
      </c>
      <c r="F121" s="5">
        <f>'Medicaid Caseload'!F121</f>
        <v>8188</v>
      </c>
      <c r="G121" s="5">
        <f>'Medicaid Caseload'!G121</f>
        <v>181632</v>
      </c>
      <c r="H121" s="5">
        <f>'Medicaid Caseload'!H121</f>
        <v>77128</v>
      </c>
      <c r="I121" s="5">
        <f>'Medicaid Caseload'!I121</f>
        <v>361574</v>
      </c>
      <c r="J121" s="5">
        <f>'Medicaid Caseload'!J121</f>
        <v>142</v>
      </c>
      <c r="K121" s="5">
        <f>'Medicaid Caseload'!K121</f>
        <v>443986</v>
      </c>
      <c r="L121" s="5">
        <f>'Medicaid Caseload'!L121</f>
        <v>66666</v>
      </c>
      <c r="M121" s="5">
        <f>'Medicaid Caseload'!M121</f>
        <v>21429</v>
      </c>
      <c r="N121" s="5">
        <f>'Medicaid Caseload'!N121</f>
        <v>9706</v>
      </c>
      <c r="O121" s="5">
        <f>'Medicaid Caseload'!O121</f>
        <v>2158</v>
      </c>
      <c r="P121" s="5">
        <f>'Medicaid Caseload'!P121</f>
        <v>2856</v>
      </c>
      <c r="Q121" s="5">
        <f>'Medicaid Caseload'!Q121</f>
        <v>35057</v>
      </c>
      <c r="R121" s="226">
        <f>'Medicaid Caseload'!R121</f>
        <v>1335347</v>
      </c>
      <c r="S121" s="5" t="b">
        <f>R121=SUM(C121:Q121)</f>
        <v>1</v>
      </c>
      <c r="T121" s="5"/>
      <c r="U121" s="5"/>
      <c r="V121" s="182"/>
      <c r="W121" s="179"/>
      <c r="X121" s="182"/>
      <c r="AJ121" s="184">
        <f>AVERAGE(AJ55:AJ66)</f>
        <v>26532.666666666668</v>
      </c>
      <c r="AM121" s="463"/>
      <c r="AN121" s="463"/>
    </row>
    <row r="122" spans="1:45" s="180" customFormat="1" x14ac:dyDescent="0.2">
      <c r="B122" s="227" t="s">
        <v>18</v>
      </c>
      <c r="C122" s="3">
        <f t="array" ref="C122">IF(TEXT(MAX(IF($A$107:$A$118=1,$B$107:$B$118)),"mmmm")="July",C107-C105,INDEX(C$107:C$118,MATCH(TEXT(MAX(IF($A$107:$A$118=1,$B$107:$B$118)),"mmmm"),TEXT($B$107:$B$118,"mmmm"),0))-INDEX(C$107:C$118,MATCH(TEXT(MAX(IF($A$107:$A$118=1,$B$107:$B$118)),"mmmm"),TEXT($B$107:$B$118,"mmmm"),0)-1))</f>
        <v>337</v>
      </c>
      <c r="D122" s="3">
        <f t="array" ref="D122">IF(TEXT(MAX(IF($A$107:$A$118=1,$B$107:$B$118)),"mmmm")="July",D107-D105,INDEX(D$107:D$118,MATCH(TEXT(MAX(IF($A$107:$A$118=1,$B$107:$B$118)),"mmmm"),TEXT($B$107:$B$118,"mmmm"),0))-INDEX(D$107:D$118,MATCH(TEXT(MAX(IF($A$107:$A$118=1,$B$107:$B$118)),"mmmm"),TEXT($B$107:$B$118,"mmmm"),0)-1))</f>
        <v>76</v>
      </c>
      <c r="E122" s="3">
        <f t="array" ref="E122">IF(TEXT(MAX(IF($A$107:$A$118=1,$B$107:$B$118)),"mmmm")="July",E107-E105,INDEX(E$107:E$118,MATCH(TEXT(MAX(IF($A$107:$A$118=1,$B$107:$B$118)),"mmmm"),TEXT($B$107:$B$118,"mmmm"),0))-INDEX(E$107:E$118,MATCH(TEXT(MAX(IF($A$107:$A$118=1,$B$107:$B$118)),"mmmm"),TEXT($B$107:$B$118,"mmmm"),0)-1))</f>
        <v>70</v>
      </c>
      <c r="F122" s="3">
        <f t="array" ref="F122">IF(TEXT(MAX(IF($A$107:$A$118=1,$B$107:$B$118)),"mmmm")="July",F107-F105,INDEX(F$107:F$118,MATCH(TEXT(MAX(IF($A$107:$A$118=1,$B$107:$B$118)),"mmmm"),TEXT($B$107:$B$118,"mmmm"),0))-INDEX(F$107:F$118,MATCH(TEXT(MAX(IF($A$107:$A$118=1,$B$107:$B$118)),"mmmm"),TEXT($B$107:$B$118,"mmmm"),0)-1))</f>
        <v>92</v>
      </c>
      <c r="G122" s="3">
        <f t="array" ref="G122">IF(TEXT(MAX(IF($A$107:$A$118=1,$B$107:$B$118)),"mmmm")="July",G107-G105,INDEX(G$107:G$118,MATCH(TEXT(MAX(IF($A$107:$A$118=1,$B$107:$B$118)),"mmmm"),TEXT($B$107:$B$118,"mmmm"),0))-INDEX(G$107:G$118,MATCH(TEXT(MAX(IF($A$107:$A$118=1,$B$107:$B$118)),"mmmm"),TEXT($B$107:$B$118,"mmmm"),0)-1))</f>
        <v>483</v>
      </c>
      <c r="H122" s="3">
        <f t="array" ref="H122">IF(TEXT(MAX(IF($A$107:$A$118=1,$B$107:$B$118)),"mmmm")="July",H107-H105,INDEX(H$107:H$118,MATCH(TEXT(MAX(IF($A$107:$A$118=1,$B$107:$B$118)),"mmmm"),TEXT($B$107:$B$118,"mmmm"),0))-INDEX(H$107:H$118,MATCH(TEXT(MAX(IF($A$107:$A$118=1,$B$107:$B$118)),"mmmm"),TEXT($B$107:$B$118,"mmmm"),0)-1))</f>
        <v>682</v>
      </c>
      <c r="I122" s="3">
        <f t="array" ref="I122">IF(TEXT(MAX(IF($A$107:$A$118=1,$B$107:$B$118)),"mmmm")="July",I107-I105,INDEX(I$107:I$118,MATCH(TEXT(MAX(IF($A$107:$A$118=1,$B$107:$B$118)),"mmmm"),TEXT($B$107:$B$118,"mmmm"),0))-INDEX(I$107:I$118,MATCH(TEXT(MAX(IF($A$107:$A$118=1,$B$107:$B$118)),"mmmm"),TEXT($B$107:$B$118,"mmmm"),0)-1))</f>
        <v>4048</v>
      </c>
      <c r="J122" s="3">
        <f t="array" ref="J122">IF(TEXT(MAX(IF($A$107:$A$118=1,$B$107:$B$118)),"mmmm")="July",J107-J105,INDEX(J$107:J$118,MATCH(TEXT(MAX(IF($A$107:$A$118=1,$B$107:$B$118)),"mmmm"),TEXT($B$107:$B$118,"mmmm"),0))-INDEX(J$107:J$118,MATCH(TEXT(MAX(IF($A$107:$A$118=1,$B$107:$B$118)),"mmmm"),TEXT($B$107:$B$118,"mmmm"),0)-1))</f>
        <v>-5</v>
      </c>
      <c r="K122" s="3">
        <f t="array" ref="K122">IF(TEXT(MAX(IF($A$107:$A$118=1,$B$107:$B$118)),"mmmm")="July",K107-K105,INDEX(K$107:K$118,MATCH(TEXT(MAX(IF($A$107:$A$118=1,$B$107:$B$118)),"mmmm"),TEXT($B$107:$B$118,"mmmm"),0))-INDEX(K$107:K$118,MATCH(TEXT(MAX(IF($A$107:$A$118=1,$B$107:$B$118)),"mmmm"),TEXT($B$107:$B$118,"mmmm"),0)-1))</f>
        <v>-454</v>
      </c>
      <c r="L122" s="3">
        <f t="array" ref="L122">IF(TEXT(MAX(IF($A$107:$A$118=1,$B$107:$B$118)),"mmmm")="July",L107-L105,INDEX(L$107:L$118,MATCH(TEXT(MAX(IF($A$107:$A$118=1,$B$107:$B$118)),"mmmm"),TEXT($B$107:$B$118,"mmmm"),0))-INDEX(L$107:L$118,MATCH(TEXT(MAX(IF($A$107:$A$118=1,$B$107:$B$118)),"mmmm"),TEXT($B$107:$B$118,"mmmm"),0)-1))</f>
        <v>895</v>
      </c>
      <c r="M122" s="3">
        <f t="array" ref="M122">IF(TEXT(MAX(IF($A$107:$A$118=1,$B$107:$B$118)),"mmmm")="July",M107-M105,INDEX(M$107:M$118,MATCH(TEXT(MAX(IF($A$107:$A$118=1,$B$107:$B$118)),"mmmm"),TEXT($B$107:$B$118,"mmmm"),0))-INDEX(M$107:M$118,MATCH(TEXT(MAX(IF($A$107:$A$118=1,$B$107:$B$118)),"mmmm"),TEXT($B$107:$B$118,"mmmm"),0)-1))</f>
        <v>153</v>
      </c>
      <c r="N122" s="3">
        <f t="array" ref="N122">IF(TEXT(MAX(IF($A$107:$A$118=1,$B$107:$B$118)),"mmmm")="July",N107-N105,INDEX(N$107:N$118,MATCH(TEXT(MAX(IF($A$107:$A$118=1,$B$107:$B$118)),"mmmm"),TEXT($B$107:$B$118,"mmmm"),0))-INDEX(N$107:N$118,MATCH(TEXT(MAX(IF($A$107:$A$118=1,$B$107:$B$118)),"mmmm"),TEXT($B$107:$B$118,"mmmm"),0)-1))</f>
        <v>-476</v>
      </c>
      <c r="O122" s="3">
        <f t="array" ref="O122">IF(TEXT(MAX(IF($A$107:$A$118=1,$B$107:$B$118)),"mmmm")="July",O107-O105,INDEX(O$107:O$118,MATCH(TEXT(MAX(IF($A$107:$A$118=1,$B$107:$B$118)),"mmmm"),TEXT($B$107:$B$118,"mmmm"),0))-INDEX(O$107:O$118,MATCH(TEXT(MAX(IF($A$107:$A$118=1,$B$107:$B$118)),"mmmm"),TEXT($B$107:$B$118,"mmmm"),0)-1))</f>
        <v>-58</v>
      </c>
      <c r="P122" s="3">
        <f t="array" ref="P122">IF(TEXT(MAX(IF($A$107:$A$118=1,$B$107:$B$118)),"mmmm")="July",P107-P105,INDEX(P$107:P$118,MATCH(TEXT(MAX(IF($A$107:$A$118=1,$B$107:$B$118)),"mmmm"),TEXT($B$107:$B$118,"mmmm"),0))-INDEX(P$107:P$118,MATCH(TEXT(MAX(IF($A$107:$A$118=1,$B$107:$B$118)),"mmmm"),TEXT($B$107:$B$118,"mmmm"),0)-1))</f>
        <v>32</v>
      </c>
      <c r="Q122" s="3">
        <f t="array" ref="Q122">IF(TEXT(MAX(IF($A$107:$A$118=1,$B$107:$B$118)),"mmmm")="July",Q107-Q105,INDEX(Q$107:Q$118,MATCH(TEXT(MAX(IF($A$107:$A$118=1,$B$107:$B$118)),"mmmm"),TEXT($B$107:$B$118,"mmmm"),0))-INDEX(Q$107:Q$118,MATCH(TEXT(MAX(IF($A$107:$A$118=1,$B$107:$B$118)),"mmmm"),TEXT($B$107:$B$118,"mmmm"),0)-1))</f>
        <v>245</v>
      </c>
      <c r="R122" s="509">
        <f t="array" ref="R122">IF(TEXT(MAX(IF($A$107:$A$118=1,$B$107:$B$118)),"mmmm")="July",R107-R105,INDEX(R$107:R$118,MATCH(TEXT(MAX(IF($A$107:$A$118=1,$B$107:$B$118)),"mmmm"),TEXT($B$107:$B$118,"mmmm"),0))-INDEX(R$107:R$118,MATCH(TEXT(MAX(IF($A$107:$A$118=1,$B$107:$B$118)),"mmmm"),TEXT($B$107:$B$118,"mmmm"),0)-1))</f>
        <v>6120</v>
      </c>
      <c r="S122" s="5" t="b">
        <f>R122=SUM(C122:Q122)</f>
        <v>1</v>
      </c>
      <c r="T122" s="5"/>
      <c r="U122" s="5"/>
      <c r="V122" s="181"/>
      <c r="X122" s="182"/>
      <c r="AA122" s="188"/>
      <c r="AM122" s="463"/>
      <c r="AN122" s="463"/>
    </row>
    <row r="123" spans="1:45" s="180" customFormat="1" x14ac:dyDescent="0.2">
      <c r="B123" s="227" t="s">
        <v>21</v>
      </c>
      <c r="C123" s="6">
        <f t="array" ref="C123">IF(TEXT(MAX(IF($A$107:$A$118=1,$B$107:$B$118)),"mmmm")="July",C122/C105,IFERROR(C122/INDEX(C$107:C$118,MATCH(TEXT(MAX(IF($A$107:$A$118=1,$B$107:$B$118)),"mmmm"),TEXT($B$107:$B$118,"mmmm"),0)-1),0))</f>
        <v>7.5062366357804703E-3</v>
      </c>
      <c r="D123" s="6">
        <f t="array" ref="D123">IF(TEXT(MAX(IF($A$107:$A$118=1,$B$107:$B$118)),"mmmm")="July",D122/D105,IFERROR(D122/INDEX(D$107:D$118,MATCH(TEXT(MAX(IF($A$107:$A$118=1,$B$107:$B$118)),"mmmm"),TEXT($B$107:$B$118,"mmmm"),0)-1),0))</f>
        <v>6.6608238387379495E-3</v>
      </c>
      <c r="E123" s="6">
        <f t="array" ref="E123">IF(TEXT(MAX(IF($A$107:$A$118=1,$B$107:$B$118)),"mmmm")="July",E122/E105,IFERROR(E122/INDEX(E$107:E$118,MATCH(TEXT(MAX(IF($A$107:$A$118=1,$B$107:$B$118)),"mmmm"),TEXT($B$107:$B$118,"mmmm"),0)-1),0))</f>
        <v>1.0446357951916906E-3</v>
      </c>
      <c r="F123" s="6">
        <f t="array" ref="F123">IF(TEXT(MAX(IF($A$107:$A$118=1,$B$107:$B$118)),"mmmm")="July",F122/F105,IFERROR(F122/INDEX(F$107:F$118,MATCH(TEXT(MAX(IF($A$107:$A$118=1,$B$107:$B$118)),"mmmm"),TEXT($B$107:$B$118,"mmmm"),0)-1),0))</f>
        <v>1.2647786637338466E-2</v>
      </c>
      <c r="G123" s="6">
        <f t="array" ref="G123">IF(TEXT(MAX(IF($A$107:$A$118=1,$B$107:$B$118)),"mmmm")="July",G122/G105,IFERROR(G122/INDEX(G$107:G$118,MATCH(TEXT(MAX(IF($A$107:$A$118=1,$B$107:$B$118)),"mmmm"),TEXT($B$107:$B$118,"mmmm"),0)-1),0))</f>
        <v>2.6591059238053293E-3</v>
      </c>
      <c r="H123" s="6">
        <f t="array" ref="H123">IF(TEXT(MAX(IF($A$107:$A$118=1,$B$107:$B$118)),"mmmm")="July",H122/H105,IFERROR(H122/INDEX(H$107:H$118,MATCH(TEXT(MAX(IF($A$107:$A$118=1,$B$107:$B$118)),"mmmm"),TEXT($B$107:$B$118,"mmmm"),0)-1),0))</f>
        <v>8.2838368011271847E-3</v>
      </c>
      <c r="I123" s="6">
        <f t="array" ref="I123">IF(TEXT(MAX(IF($A$107:$A$118=1,$B$107:$B$118)),"mmmm")="July",I122/I105,IFERROR(I122/INDEX(I$107:I$118,MATCH(TEXT(MAX(IF($A$107:$A$118=1,$B$107:$B$118)),"mmmm"),TEXT($B$107:$B$118,"mmmm"),0)-1),0))</f>
        <v>1.0920647253381677E-2</v>
      </c>
      <c r="J123" s="6">
        <f t="array" ref="J123">IF(TEXT(MAX(IF($A$107:$A$118=1,$B$107:$B$118)),"mmmm")="July",J122/J105,IFERROR(J122/INDEX(J$107:J$118,MATCH(TEXT(MAX(IF($A$107:$A$118=1,$B$107:$B$118)),"mmmm"),TEXT($B$107:$B$118,"mmmm"),0)-1),0))</f>
        <v>-3.3333333333333333E-2</v>
      </c>
      <c r="K123" s="6">
        <f t="array" ref="K123">IF(TEXT(MAX(IF($A$107:$A$118=1,$B$107:$B$118)),"mmmm")="July",K122/K105,IFERROR(K122/INDEX(K$107:K$118,MATCH(TEXT(MAX(IF($A$107:$A$118=1,$B$107:$B$118)),"mmmm"),TEXT($B$107:$B$118,"mmmm"),0)-1),0))</f>
        <v>-9.9174275853029835E-4</v>
      </c>
      <c r="L123" s="6">
        <f t="array" ref="L123">IF(TEXT(MAX(IF($A$107:$A$118=1,$B$107:$B$118)),"mmmm")="July",L122/L105,IFERROR(L122/INDEX(L$107:L$118,MATCH(TEXT(MAX(IF($A$107:$A$118=1,$B$107:$B$118)),"mmmm"),TEXT($B$107:$B$118,"mmmm"),0)-1),0))</f>
        <v>1.3671009821742252E-2</v>
      </c>
      <c r="M123" s="6">
        <f t="array" ref="M123">IF(TEXT(MAX(IF($A$107:$A$118=1,$B$107:$B$118)),"mmmm")="July",M122/M105,IFERROR(M122/INDEX(M$107:M$118,MATCH(TEXT(MAX(IF($A$107:$A$118=1,$B$107:$B$118)),"mmmm"),TEXT($B$107:$B$118,"mmmm"),0)-1),0))</f>
        <v>7.40884218681904E-3</v>
      </c>
      <c r="N123" s="6">
        <f t="array" ref="N123">IF(TEXT(MAX(IF($A$107:$A$118=1,$B$107:$B$118)),"mmmm")="July",N122/N105,IFERROR(N122/INDEX(N$107:N$118,MATCH(TEXT(MAX(IF($A$107:$A$118=1,$B$107:$B$118)),"mmmm"),TEXT($B$107:$B$118,"mmmm"),0)-1),0))</f>
        <v>-4.1229969683845819E-2</v>
      </c>
      <c r="O123" s="6">
        <f t="array" ref="O123">IF(TEXT(MAX(IF($A$107:$A$118=1,$B$107:$B$118)),"mmmm")="July",O122/O105,IFERROR(O122/INDEX(O$107:O$118,MATCH(TEXT(MAX(IF($A$107:$A$118=1,$B$107:$B$118)),"mmmm"),TEXT($B$107:$B$118,"mmmm"),0)-1),0))</f>
        <v>-2.6642168121267799E-2</v>
      </c>
      <c r="P123" s="6">
        <f t="array" ref="P123">IF(TEXT(MAX(IF($A$107:$A$118=1,$B$107:$B$118)),"mmmm")="July",P122/P105,IFERROR(P122/INDEX(P$107:P$118,MATCH(TEXT(MAX(IF($A$107:$A$118=1,$B$107:$B$118)),"mmmm"),TEXT($B$107:$B$118,"mmmm"),0)-1),0))</f>
        <v>1.094017094017094E-2</v>
      </c>
      <c r="Q123" s="6">
        <f t="array" ref="Q123">IF(TEXT(MAX(IF($A$107:$A$118=1,$B$107:$B$118)),"mmmm")="July",Q122/Q105,IFERROR(Q122/INDEX(Q$107:Q$118,MATCH(TEXT(MAX(IF($A$107:$A$118=1,$B$107:$B$118)),"mmmm"),TEXT($B$107:$B$118,"mmmm"),0)-1),0))</f>
        <v>7.033560129762007E-3</v>
      </c>
      <c r="R123" s="466">
        <f t="array" ref="R123">IF(TEXT(MAX(IF($A$107:$A$118=1,$B$107:$B$118)),"mmmm")="July",R122/R105,IFERROR(R122/INDEX(R$107:R$118,MATCH(TEXT(MAX(IF($A$107:$A$118=1,$B$107:$B$118)),"mmmm"),TEXT($B$107:$B$118,"mmmm"),0)-1),0))</f>
        <v>4.4974866986096009E-3</v>
      </c>
      <c r="S123" s="6"/>
      <c r="T123" s="252"/>
      <c r="U123" s="6"/>
      <c r="V123" s="189"/>
      <c r="AM123" s="463"/>
      <c r="AN123" s="463"/>
    </row>
    <row r="124" spans="1:45" s="180" customFormat="1" x14ac:dyDescent="0.2">
      <c r="B124" s="227" t="s">
        <v>35</v>
      </c>
      <c r="C124" s="3">
        <f t="array" ref="C124">INDEX(C$107:C$118,MATCH(TEXT(MAX(IF($A$107:$A$118=1,$B$107:$B$118)),"mmmm"),TEXT($B$107:$B$118,"mmmm"),0))-INDEX(C$94:C$105,MATCH(TEXT(MAX(IF($A$107:$A$118=1,$B$107:$B$118)),"mmmm"),TEXT($B$94:$B$105,"mmmm"),0))</f>
        <v>1859</v>
      </c>
      <c r="D124" s="3">
        <f t="array" ref="D124">INDEX(D$107:D$118,MATCH(TEXT(MAX(IF($A$107:$A$118=1,$B$107:$B$118)),"mmmm"),TEXT($B$107:$B$118,"mmmm"),0))-INDEX(D$94:D$105,MATCH(TEXT(MAX(IF($A$107:$A$118=1,$B$107:$B$118)),"mmmm"),TEXT($B$94:$B$105,"mmmm"),0))</f>
        <v>475</v>
      </c>
      <c r="E124" s="3">
        <f t="array" ref="E124">INDEX(E$107:E$118,MATCH(TEXT(MAX(IF($A$107:$A$118=1,$B$107:$B$118)),"mmmm"),TEXT($B$107:$B$118,"mmmm"),0))-INDEX(E$94:E$105,MATCH(TEXT(MAX(IF($A$107:$A$118=1,$B$107:$B$118)),"mmmm"),TEXT($B$94:$B$105,"mmmm"),0))</f>
        <v>-827</v>
      </c>
      <c r="F124" s="3">
        <f t="array" ref="F124">INDEX(F$107:F$118,MATCH(TEXT(MAX(IF($A$107:$A$118=1,$B$107:$B$118)),"mmmm"),TEXT($B$107:$B$118,"mmmm"),0))-INDEX(F$94:F$105,MATCH(TEXT(MAX(IF($A$107:$A$118=1,$B$107:$B$118)),"mmmm"),TEXT($B$94:$B$105,"mmmm"),0))</f>
        <v>1914</v>
      </c>
      <c r="G124" s="3">
        <f t="array" ref="G124">INDEX(G$107:G$118,MATCH(TEXT(MAX(IF($A$107:$A$118=1,$B$107:$B$118)),"mmmm"),TEXT($B$107:$B$118,"mmmm"),0))-INDEX(G$94:G$105,MATCH(TEXT(MAX(IF($A$107:$A$118=1,$B$107:$B$118)),"mmmm"),TEXT($B$94:$B$105,"mmmm"),0))</f>
        <v>31450</v>
      </c>
      <c r="H124" s="3">
        <f t="array" ref="H124">INDEX(H$107:H$118,MATCH(TEXT(MAX(IF($A$107:$A$118=1,$B$107:$B$118)),"mmmm"),TEXT($B$107:$B$118,"mmmm"),0))-INDEX(H$94:H$105,MATCH(TEXT(MAX(IF($A$107:$A$118=1,$B$107:$B$118)),"mmmm"),TEXT($B$94:$B$105,"mmmm"),0))</f>
        <v>-8033</v>
      </c>
      <c r="I124" s="3">
        <f t="array" ref="I124">INDEX(I$107:I$118,MATCH(TEXT(MAX(IF($A$107:$A$118=1,$B$107:$B$118)),"mmmm"),TEXT($B$107:$B$118,"mmmm"),0))-INDEX(I$94:I$105,MATCH(TEXT(MAX(IF($A$107:$A$118=1,$B$107:$B$118)),"mmmm"),TEXT($B$94:$B$105,"mmmm"),0))</f>
        <v>14751</v>
      </c>
      <c r="J124" s="3">
        <f t="array" ref="J124">INDEX(J$107:J$118,MATCH(TEXT(MAX(IF($A$107:$A$118=1,$B$107:$B$118)),"mmmm"),TEXT($B$107:$B$118,"mmmm"),0))-INDEX(J$94:J$105,MATCH(TEXT(MAX(IF($A$107:$A$118=1,$B$107:$B$118)),"mmmm"),TEXT($B$94:$B$105,"mmmm"),0))</f>
        <v>-165</v>
      </c>
      <c r="K124" s="3">
        <f t="array" ref="K124">INDEX(K$107:K$118,MATCH(TEXT(MAX(IF($A$107:$A$118=1,$B$107:$B$118)),"mmmm"),TEXT($B$107:$B$118,"mmmm"),0))-INDEX(K$94:K$105,MATCH(TEXT(MAX(IF($A$107:$A$118=1,$B$107:$B$118)),"mmmm"),TEXT($B$94:$B$105,"mmmm"),0))</f>
        <v>-14654</v>
      </c>
      <c r="L124" s="3">
        <f t="array" ref="L124">INDEX(L$107:L$118,MATCH(TEXT(MAX(IF($A$107:$A$118=1,$B$107:$B$118)),"mmmm"),TEXT($B$107:$B$118,"mmmm"),0))-INDEX(L$94:L$105,MATCH(TEXT(MAX(IF($A$107:$A$118=1,$B$107:$B$118)),"mmmm"),TEXT($B$94:$B$105,"mmmm"),0))</f>
        <v>2647</v>
      </c>
      <c r="M124" s="3">
        <f t="array" ref="M124">INDEX(M$107:M$118,MATCH(TEXT(MAX(IF($A$107:$A$118=1,$B$107:$B$118)),"mmmm"),TEXT($B$107:$B$118,"mmmm"),0))-INDEX(M$94:M$105,MATCH(TEXT(MAX(IF($A$107:$A$118=1,$B$107:$B$118)),"mmmm"),TEXT($B$94:$B$105,"mmmm"),0))</f>
        <v>601</v>
      </c>
      <c r="N124" s="3">
        <f t="array" ref="N124">INDEX(N$107:N$118,MATCH(TEXT(MAX(IF($A$107:$A$118=1,$B$107:$B$118)),"mmmm"),TEXT($B$107:$B$118,"mmmm"),0))-INDEX(N$94:N$105,MATCH(TEXT(MAX(IF($A$107:$A$118=1,$B$107:$B$118)),"mmmm"),TEXT($B$94:$B$105,"mmmm"),0))</f>
        <v>-3842</v>
      </c>
      <c r="O124" s="3">
        <f t="array" ref="O124">INDEX(O$107:O$118,MATCH(TEXT(MAX(IF($A$107:$A$118=1,$B$107:$B$118)),"mmmm"),TEXT($B$107:$B$118,"mmmm"),0))-INDEX(O$94:O$105,MATCH(TEXT(MAX(IF($A$107:$A$118=1,$B$107:$B$118)),"mmmm"),TEXT($B$94:$B$105,"mmmm"),0))</f>
        <v>247</v>
      </c>
      <c r="P124" s="3">
        <f t="array" ref="P124">INDEX(P$107:P$118,MATCH(TEXT(MAX(IF($A$107:$A$118=1,$B$107:$B$118)),"mmmm"),TEXT($B$107:$B$118,"mmmm"),0))-INDEX(P$94:P$105,MATCH(TEXT(MAX(IF($A$107:$A$118=1,$B$107:$B$118)),"mmmm"),TEXT($B$94:$B$105,"mmmm"),0))</f>
        <v>323</v>
      </c>
      <c r="Q124" s="3">
        <f t="array" ref="Q124">INDEX(Q$107:Q$118,MATCH(TEXT(MAX(IF($A$107:$A$118=1,$B$107:$B$118)),"mmmm"),TEXT($B$107:$B$118,"mmmm"),0))-INDEX(Q$94:Q$105,MATCH(TEXT(MAX(IF($A$107:$A$118=1,$B$107:$B$118)),"mmmm"),TEXT($B$94:$B$105,"mmmm"),0))</f>
        <v>1442</v>
      </c>
      <c r="R124" s="509">
        <f t="array" ref="R124">INDEX(R$107:R$118,MATCH(TEXT(MAX(IF($A$107:$A$118=1,$B$107:$B$118)),"mmmm"),TEXT($B$107:$B$118,"mmmm"),0))-INDEX(R$94:R$105,MATCH(TEXT(MAX(IF($A$107:$A$118=1,$B$107:$B$118)),"mmmm"),TEXT($B$94:$B$105,"mmmm"),0))</f>
        <v>28188</v>
      </c>
      <c r="S124" s="5" t="b">
        <f>R124=SUM(C124:Q124)</f>
        <v>1</v>
      </c>
      <c r="T124" s="5"/>
      <c r="U124" s="5"/>
      <c r="AM124" s="463"/>
      <c r="AN124" s="463"/>
    </row>
    <row r="125" spans="1:45" s="180" customFormat="1" ht="16.5" thickBot="1" x14ac:dyDescent="0.25">
      <c r="B125" s="227" t="s">
        <v>36</v>
      </c>
      <c r="C125" s="6">
        <f t="array" ref="C125">IFERROR(C124/INDEX(C$94:C$105,MATCH(TEXT(MAX(IF($A$107:$A$118=1,$B$107:$B$118)),"mmmm"),TEXT($B$94:$B$105,"mmmm"),0)),0)</f>
        <v>4.2859777747037399E-2</v>
      </c>
      <c r="D125" s="6">
        <f t="array" ref="D125">IFERROR(D124/INDEX(D$94:D$105,MATCH(TEXT(MAX(IF($A$107:$A$118=1,$B$107:$B$118)),"mmmm"),TEXT($B$94:$B$105,"mmmm"),0)),0)</f>
        <v>4.3138679502315869E-2</v>
      </c>
      <c r="E125" s="6">
        <f t="array" ref="E125">IFERROR(E124/INDEX(E$94:E$105,MATCH(TEXT(MAX(IF($A$107:$A$118=1,$B$107:$B$118)),"mmmm"),TEXT($B$94:$B$105,"mmmm"),0)),0)</f>
        <v>-1.2178599829175626E-2</v>
      </c>
      <c r="F125" s="6">
        <f t="array" ref="F125">IFERROR(F124/INDEX(F$94:F$105,MATCH(TEXT(MAX(IF($A$107:$A$118=1,$B$107:$B$118)),"mmmm"),TEXT($B$94:$B$105,"mmmm"),0)),0)</f>
        <v>0.35106382978723405</v>
      </c>
      <c r="G125" s="6">
        <f t="array" ref="G125">IFERROR(G124/INDEX(G$94:G$105,MATCH(TEXT(MAX(IF($A$107:$A$118=1,$B$107:$B$118)),"mmmm"),TEXT($B$94:$B$105,"mmmm"),0)),0)</f>
        <v>0.20873016399753108</v>
      </c>
      <c r="H125" s="6">
        <f t="array" ref="H125">IFERROR(H124/INDEX(H$94:H$105,MATCH(TEXT(MAX(IF($A$107:$A$118=1,$B$107:$B$118)),"mmmm"),TEXT($B$94:$B$105,"mmmm"),0)),0)</f>
        <v>-8.8232063617591491E-2</v>
      </c>
      <c r="I125" s="6">
        <f t="array" ref="I125">IFERROR(I124/INDEX(I$94:I$105,MATCH(TEXT(MAX(IF($A$107:$A$118=1,$B$107:$B$118)),"mmmm"),TEXT($B$94:$B$105,"mmmm"),0)),0)</f>
        <v>4.0978301029805181E-2</v>
      </c>
      <c r="J125" s="6">
        <f t="array" ref="J125">IFERROR(J124/INDEX(J$94:J$105,MATCH(TEXT(MAX(IF($A$107:$A$118=1,$B$107:$B$118)),"mmmm"),TEXT($B$94:$B$105,"mmmm"),0)),0)</f>
        <v>-0.532258064516129</v>
      </c>
      <c r="K125" s="6">
        <f t="array" ref="K125">IFERROR(K124/INDEX(K$94:K$105,MATCH(TEXT(MAX(IF($A$107:$A$118=1,$B$107:$B$118)),"mmmm"),TEXT($B$94:$B$105,"mmmm"),0)),0)</f>
        <v>-3.1047925759566084E-2</v>
      </c>
      <c r="L125" s="6">
        <f t="array" ref="L125">IFERROR(L124/INDEX(L$94:L$105,MATCH(TEXT(MAX(IF($A$107:$A$118=1,$B$107:$B$118)),"mmmm"),TEXT($B$94:$B$105,"mmmm"),0)),0)</f>
        <v>4.1544377305187161E-2</v>
      </c>
      <c r="M125" s="6">
        <f t="array" ref="M125">IFERROR(M124/INDEX(M$94:M$105,MATCH(TEXT(MAX(IF($A$107:$A$118=1,$B$107:$B$118)),"mmmm"),TEXT($B$94:$B$105,"mmmm"),0)),0)</f>
        <v>2.9748057219224869E-2</v>
      </c>
      <c r="N125" s="6">
        <f t="array" ref="N125">IFERROR(N124/INDEX(N$94:N$105,MATCH(TEXT(MAX(IF($A$107:$A$118=1,$B$107:$B$118)),"mmmm"),TEXT($B$94:$B$105,"mmmm"),0)),0)</f>
        <v>-0.25766212862987059</v>
      </c>
      <c r="O125" s="6">
        <f t="array" ref="O125">IFERROR(O124/INDEX(O$94:O$105,MATCH(TEXT(MAX(IF($A$107:$A$118=1,$B$107:$B$118)),"mmmm"),TEXT($B$94:$B$105,"mmmm"),0)),0)</f>
        <v>0.13194444444444445</v>
      </c>
      <c r="P125" s="6">
        <f t="array" ref="P125">IFERROR(P124/INDEX(P$94:P$105,MATCH(TEXT(MAX(IF($A$107:$A$118=1,$B$107:$B$118)),"mmmm"),TEXT($B$94:$B$105,"mmmm"),0)),0)</f>
        <v>0.12262718299164768</v>
      </c>
      <c r="Q125" s="6">
        <f t="array" ref="Q125">IFERROR(Q124/INDEX(Q$94:Q$105,MATCH(TEXT(MAX(IF($A$107:$A$118=1,$B$107:$B$118)),"mmmm"),TEXT($B$94:$B$105,"mmmm"),0)),0)</f>
        <v>4.287073373766203E-2</v>
      </c>
      <c r="R125" s="466">
        <f t="array" ref="R125">IFERROR(R124/INDEX(R$94:R$105,MATCH(TEXT(MAX(IF($A$107:$A$118=1,$B$107:$B$118)),"mmmm"),TEXT($B$94:$B$105,"mmmm"),0)),0)</f>
        <v>2.1056374431161162E-2</v>
      </c>
      <c r="S125" s="6"/>
      <c r="T125" s="67">
        <v>1699</v>
      </c>
      <c r="U125" s="6"/>
      <c r="AA125" s="181"/>
      <c r="AM125" s="463"/>
      <c r="AN125" s="463"/>
    </row>
    <row r="126" spans="1:45" s="180" customFormat="1" ht="19.5" hidden="1" thickBot="1" x14ac:dyDescent="0.25">
      <c r="B126" s="279" t="s">
        <v>284</v>
      </c>
      <c r="C126" s="5"/>
      <c r="D126" s="5"/>
      <c r="E126" s="5"/>
      <c r="F126" s="5"/>
      <c r="G126" s="280"/>
      <c r="H126" s="280"/>
      <c r="I126" s="5"/>
      <c r="J126" s="5"/>
      <c r="K126" s="5"/>
      <c r="L126" s="5"/>
      <c r="M126" s="5"/>
      <c r="N126" s="5"/>
      <c r="O126" s="5"/>
      <c r="P126" s="5"/>
      <c r="Q126" s="5"/>
      <c r="R126" s="226"/>
      <c r="S126" s="5" t="b">
        <f>R126=SUM(C126:Q126)</f>
        <v>1</v>
      </c>
      <c r="AM126" s="463"/>
    </row>
    <row r="127" spans="1:45" s="180" customFormat="1" ht="16.5" hidden="1" thickBot="1" x14ac:dyDescent="0.25">
      <c r="B127" s="279" t="s">
        <v>26</v>
      </c>
      <c r="C127" s="5"/>
      <c r="D127" s="5"/>
      <c r="E127" s="5"/>
      <c r="F127" s="5"/>
      <c r="G127" s="5"/>
      <c r="H127" s="5"/>
      <c r="I127" s="5"/>
      <c r="J127" s="5"/>
      <c r="K127" s="5"/>
      <c r="L127" s="5"/>
      <c r="M127" s="5"/>
      <c r="N127" s="5"/>
      <c r="O127" s="5"/>
      <c r="P127" s="5"/>
      <c r="Q127" s="5"/>
      <c r="R127" s="226"/>
      <c r="S127" s="5" t="b">
        <f>R127=SUM(C127:Q127)</f>
        <v>1</v>
      </c>
      <c r="T127" s="464"/>
      <c r="AM127" s="463"/>
    </row>
    <row r="128" spans="1:45" s="180" customFormat="1" ht="16.5" hidden="1" thickBot="1" x14ac:dyDescent="0.25">
      <c r="B128" s="379" t="s">
        <v>98</v>
      </c>
      <c r="C128" s="5"/>
      <c r="D128" s="5"/>
      <c r="E128" s="5"/>
      <c r="F128" s="5"/>
      <c r="G128" s="280"/>
      <c r="H128" s="280"/>
      <c r="I128" s="5"/>
      <c r="J128" s="5"/>
      <c r="K128" s="5"/>
      <c r="L128" s="5"/>
      <c r="M128" s="5"/>
      <c r="N128" s="5"/>
      <c r="O128" s="5"/>
      <c r="P128" s="5"/>
      <c r="Q128" s="5"/>
      <c r="R128" s="226"/>
      <c r="S128" s="5" t="b">
        <f>R128=SUM(C128:Q128)</f>
        <v>1</v>
      </c>
      <c r="T128" s="368">
        <f>(R120-R121)/R121</f>
        <v>2.1324794229514873E-2</v>
      </c>
      <c r="AL128" s="463"/>
      <c r="AM128" s="463"/>
      <c r="AN128" s="463"/>
      <c r="AO128" s="463"/>
      <c r="AP128" s="463"/>
      <c r="AQ128" s="463"/>
      <c r="AR128" s="463"/>
      <c r="AS128" s="463"/>
    </row>
    <row r="129" spans="1:45" s="180" customFormat="1" ht="16.5" hidden="1" thickBot="1" x14ac:dyDescent="0.25">
      <c r="B129" s="380" t="s">
        <v>27</v>
      </c>
      <c r="C129" s="281"/>
      <c r="D129" s="281"/>
      <c r="E129" s="281"/>
      <c r="F129" s="281"/>
      <c r="G129" s="282"/>
      <c r="H129" s="282"/>
      <c r="I129" s="281"/>
      <c r="J129" s="281"/>
      <c r="K129" s="281"/>
      <c r="L129" s="281"/>
      <c r="M129" s="281"/>
      <c r="N129" s="281"/>
      <c r="O129" s="281"/>
      <c r="P129" s="281"/>
      <c r="Q129" s="281"/>
      <c r="R129" s="467"/>
      <c r="S129" s="5" t="b">
        <f>R129=SUM(C129:Q129)</f>
        <v>1</v>
      </c>
      <c r="AL129" s="463"/>
      <c r="AM129" s="463"/>
      <c r="AN129" s="463"/>
      <c r="AO129" s="463"/>
      <c r="AP129" s="463"/>
      <c r="AQ129" s="463"/>
      <c r="AR129" s="463"/>
      <c r="AS129" s="463"/>
    </row>
    <row r="130" spans="1:45" s="180" customFormat="1" ht="16.5" hidden="1" thickBot="1" x14ac:dyDescent="0.25">
      <c r="B130" s="279"/>
      <c r="C130" s="5"/>
      <c r="D130" s="5"/>
      <c r="E130" s="5"/>
      <c r="F130" s="5"/>
      <c r="G130" s="5"/>
      <c r="H130" s="5"/>
      <c r="I130" s="5"/>
      <c r="J130" s="5"/>
      <c r="K130" s="5"/>
      <c r="L130" s="5"/>
      <c r="M130" s="5"/>
      <c r="N130" s="5"/>
      <c r="O130" s="5"/>
      <c r="P130" s="5"/>
      <c r="Q130" s="5"/>
      <c r="R130" s="226"/>
      <c r="S130" s="5"/>
      <c r="AL130" s="463"/>
      <c r="AM130" s="463"/>
      <c r="AN130" s="463"/>
      <c r="AO130" s="463"/>
      <c r="AP130" s="463"/>
      <c r="AQ130" s="463"/>
      <c r="AR130" s="463"/>
      <c r="AS130" s="463"/>
    </row>
    <row r="131" spans="1:45" s="178" customFormat="1" x14ac:dyDescent="0.2">
      <c r="B131" s="673" t="s">
        <v>24</v>
      </c>
      <c r="C131" s="674"/>
      <c r="D131" s="674"/>
      <c r="E131" s="674"/>
      <c r="F131" s="674"/>
      <c r="G131" s="674"/>
      <c r="H131" s="674"/>
      <c r="I131" s="674"/>
      <c r="J131" s="674"/>
      <c r="K131" s="674"/>
      <c r="L131" s="674"/>
      <c r="M131" s="674"/>
      <c r="N131" s="674"/>
      <c r="O131" s="674"/>
      <c r="P131" s="674"/>
      <c r="Q131" s="674"/>
      <c r="R131" s="675"/>
      <c r="S131" s="150"/>
      <c r="AC131" s="468"/>
      <c r="AD131" s="468"/>
      <c r="AE131" s="468"/>
      <c r="AF131" s="468"/>
      <c r="AG131" s="468"/>
      <c r="AH131" s="468"/>
      <c r="AL131" s="463"/>
      <c r="AM131" s="463"/>
      <c r="AN131" s="463"/>
      <c r="AO131" s="463"/>
      <c r="AP131" s="463"/>
      <c r="AQ131" s="463"/>
      <c r="AR131" s="463"/>
      <c r="AS131" s="463"/>
    </row>
    <row r="132" spans="1:45" s="178" customFormat="1" x14ac:dyDescent="0.25">
      <c r="B132" s="676" t="s">
        <v>318</v>
      </c>
      <c r="C132" s="677"/>
      <c r="D132" s="677"/>
      <c r="E132" s="677"/>
      <c r="F132" s="677"/>
      <c r="G132" s="677"/>
      <c r="H132" s="677"/>
      <c r="I132" s="677"/>
      <c r="J132" s="677"/>
      <c r="K132" s="677"/>
      <c r="L132" s="677"/>
      <c r="M132" s="677"/>
      <c r="N132" s="677"/>
      <c r="O132" s="677"/>
      <c r="P132" s="677"/>
      <c r="Q132" s="677"/>
      <c r="R132" s="678"/>
      <c r="S132" s="250"/>
      <c r="AC132" s="469"/>
      <c r="AD132" s="469"/>
      <c r="AE132" s="469"/>
      <c r="AF132" s="469"/>
      <c r="AG132" s="469"/>
      <c r="AH132" s="469"/>
      <c r="AL132" s="463"/>
      <c r="AM132" s="463"/>
      <c r="AN132" s="463"/>
      <c r="AO132" s="463"/>
      <c r="AP132" s="463"/>
      <c r="AQ132" s="463"/>
      <c r="AR132" s="463"/>
      <c r="AS132" s="463"/>
    </row>
    <row r="133" spans="1:45" s="178" customFormat="1" ht="16.5" thickBot="1" x14ac:dyDescent="0.3">
      <c r="B133" s="679" t="s">
        <v>345</v>
      </c>
      <c r="C133" s="680"/>
      <c r="D133" s="680"/>
      <c r="E133" s="680"/>
      <c r="F133" s="680"/>
      <c r="G133" s="680"/>
      <c r="H133" s="680"/>
      <c r="I133" s="680"/>
      <c r="J133" s="680"/>
      <c r="K133" s="680"/>
      <c r="L133" s="680"/>
      <c r="M133" s="680"/>
      <c r="N133" s="680"/>
      <c r="O133" s="680"/>
      <c r="P133" s="680"/>
      <c r="Q133" s="680"/>
      <c r="R133" s="681"/>
      <c r="S133" s="250"/>
      <c r="AC133" s="469"/>
      <c r="AD133" s="469"/>
      <c r="AE133" s="469"/>
      <c r="AF133" s="469"/>
      <c r="AG133" s="469"/>
      <c r="AH133" s="469"/>
      <c r="AL133" s="463"/>
      <c r="AM133" s="463"/>
      <c r="AN133" s="463"/>
      <c r="AO133" s="463"/>
      <c r="AP133" s="463"/>
      <c r="AQ133" s="463"/>
      <c r="AR133" s="463"/>
      <c r="AS133" s="463"/>
    </row>
    <row r="134" spans="1:45" s="178" customFormat="1" ht="25.5" x14ac:dyDescent="0.25">
      <c r="A134" s="580" t="s">
        <v>338</v>
      </c>
      <c r="B134" s="715" t="s">
        <v>347</v>
      </c>
      <c r="C134" s="716"/>
      <c r="D134" s="716"/>
      <c r="E134" s="716"/>
      <c r="F134" s="716"/>
      <c r="G134" s="716"/>
      <c r="H134" s="716"/>
      <c r="I134" s="716"/>
      <c r="J134" s="716"/>
      <c r="K134" s="716"/>
      <c r="L134" s="716"/>
      <c r="M134" s="716"/>
      <c r="N134" s="716"/>
      <c r="O134" s="716"/>
      <c r="P134" s="716"/>
      <c r="Q134" s="716"/>
      <c r="R134" s="717"/>
      <c r="S134" s="250"/>
      <c r="T134" s="250"/>
      <c r="U134" s="250"/>
      <c r="AA134" s="191" t="s">
        <v>117</v>
      </c>
      <c r="AB134" s="192" t="s">
        <v>118</v>
      </c>
      <c r="AC134" s="470" t="s">
        <v>119</v>
      </c>
      <c r="AD134" s="470"/>
      <c r="AE134" s="470"/>
      <c r="AF134" s="471"/>
      <c r="AG134" s="469"/>
      <c r="AH134" s="469"/>
      <c r="AL134" s="463"/>
      <c r="AM134" s="463"/>
      <c r="AN134" s="463"/>
      <c r="AO134" s="463"/>
      <c r="AP134" s="463"/>
      <c r="AQ134" s="463"/>
      <c r="AR134" s="463"/>
      <c r="AS134" s="463"/>
    </row>
    <row r="135" spans="1:45" s="178" customFormat="1" x14ac:dyDescent="0.25">
      <c r="A135" s="580"/>
      <c r="B135" s="715" t="s">
        <v>348</v>
      </c>
      <c r="C135" s="716"/>
      <c r="D135" s="716"/>
      <c r="E135" s="716"/>
      <c r="F135" s="716"/>
      <c r="G135" s="716"/>
      <c r="H135" s="716"/>
      <c r="I135" s="716"/>
      <c r="J135" s="716"/>
      <c r="K135" s="716"/>
      <c r="L135" s="716"/>
      <c r="M135" s="716"/>
      <c r="N135" s="716"/>
      <c r="O135" s="716"/>
      <c r="P135" s="716"/>
      <c r="Q135" s="716"/>
      <c r="R135" s="717"/>
      <c r="S135" s="250"/>
      <c r="T135" s="250"/>
      <c r="U135" s="250"/>
      <c r="AA135" s="614"/>
      <c r="AB135" s="615"/>
      <c r="AC135" s="474"/>
      <c r="AD135" s="474"/>
      <c r="AE135" s="474"/>
      <c r="AF135" s="476"/>
      <c r="AG135" s="469"/>
      <c r="AH135" s="469"/>
      <c r="AL135" s="463"/>
      <c r="AM135" s="463"/>
      <c r="AN135" s="463"/>
      <c r="AO135" s="463"/>
      <c r="AP135" s="463"/>
      <c r="AQ135" s="463"/>
      <c r="AR135" s="463"/>
      <c r="AS135" s="463"/>
    </row>
    <row r="136" spans="1:45" ht="32.25" thickBot="1" x14ac:dyDescent="0.3">
      <c r="A136" s="580" t="s">
        <v>338</v>
      </c>
      <c r="B136" s="682" t="s">
        <v>377</v>
      </c>
      <c r="C136" s="683"/>
      <c r="D136" s="683"/>
      <c r="E136" s="683"/>
      <c r="F136" s="683"/>
      <c r="G136" s="683"/>
      <c r="H136" s="683"/>
      <c r="I136" s="683"/>
      <c r="J136" s="683"/>
      <c r="K136" s="683"/>
      <c r="L136" s="683"/>
      <c r="M136" s="683"/>
      <c r="N136" s="683"/>
      <c r="O136" s="683"/>
      <c r="P136" s="683"/>
      <c r="Q136" s="683"/>
      <c r="R136" s="684"/>
      <c r="AA136" s="472" t="s">
        <v>122</v>
      </c>
      <c r="AB136" s="473" t="s">
        <v>120</v>
      </c>
      <c r="AC136" s="474" t="s">
        <v>123</v>
      </c>
      <c r="AD136" s="475"/>
      <c r="AE136" s="473"/>
      <c r="AF136" s="476" t="s">
        <v>124</v>
      </c>
      <c r="AG136" s="469"/>
      <c r="AH136" s="469"/>
      <c r="AL136" s="463"/>
      <c r="AM136" s="463"/>
      <c r="AN136" s="463"/>
      <c r="AO136" s="463"/>
      <c r="AP136" s="463"/>
      <c r="AQ136" s="463"/>
      <c r="AR136" s="463"/>
      <c r="AS136" s="463"/>
    </row>
    <row r="137" spans="1:45" ht="15.75" customHeight="1" x14ac:dyDescent="0.25">
      <c r="B137" s="685"/>
      <c r="C137" s="686"/>
      <c r="D137" s="686"/>
      <c r="E137" s="686"/>
      <c r="F137" s="686"/>
      <c r="G137" s="686"/>
      <c r="H137" s="686"/>
      <c r="I137" s="686"/>
      <c r="J137" s="686"/>
      <c r="K137" s="686"/>
      <c r="L137" s="686"/>
      <c r="M137" s="686"/>
      <c r="N137" s="686"/>
      <c r="O137" s="686"/>
      <c r="P137" s="686"/>
      <c r="Q137" s="686"/>
      <c r="R137" s="687"/>
      <c r="AA137" s="472"/>
      <c r="AB137" s="473"/>
      <c r="AC137" s="474"/>
      <c r="AD137" s="475"/>
      <c r="AE137" s="473"/>
      <c r="AF137" s="476"/>
      <c r="AG137" s="469"/>
      <c r="AH137" s="469"/>
      <c r="AL137" s="463"/>
      <c r="AM137" s="463"/>
      <c r="AN137" s="463"/>
      <c r="AO137" s="463"/>
      <c r="AP137" s="463"/>
      <c r="AQ137" s="463"/>
      <c r="AR137" s="463"/>
      <c r="AS137" s="463"/>
    </row>
    <row r="138" spans="1:45" ht="16.5" customHeight="1" x14ac:dyDescent="0.25">
      <c r="B138" s="685"/>
      <c r="C138" s="686"/>
      <c r="D138" s="686"/>
      <c r="E138" s="686"/>
      <c r="F138" s="686"/>
      <c r="G138" s="686"/>
      <c r="H138" s="686"/>
      <c r="I138" s="686"/>
      <c r="J138" s="686"/>
      <c r="K138" s="686"/>
      <c r="L138" s="686"/>
      <c r="M138" s="686"/>
      <c r="N138" s="686"/>
      <c r="O138" s="686"/>
      <c r="P138" s="686"/>
      <c r="Q138" s="686"/>
      <c r="R138" s="687"/>
      <c r="AA138" s="472"/>
      <c r="AB138" s="473"/>
      <c r="AC138" s="474"/>
      <c r="AD138" s="475"/>
      <c r="AE138" s="473"/>
      <c r="AF138" s="476"/>
      <c r="AG138" s="469"/>
      <c r="AH138" s="469"/>
      <c r="AL138" s="463"/>
      <c r="AM138" s="463"/>
      <c r="AN138" s="463"/>
      <c r="AO138" s="463"/>
      <c r="AP138" s="463"/>
      <c r="AQ138" s="463"/>
      <c r="AR138" s="463"/>
      <c r="AS138" s="463"/>
    </row>
    <row r="139" spans="1:45" ht="15.75" customHeight="1" x14ac:dyDescent="0.25">
      <c r="B139" s="685"/>
      <c r="C139" s="686"/>
      <c r="D139" s="686"/>
      <c r="E139" s="686"/>
      <c r="F139" s="686"/>
      <c r="G139" s="686"/>
      <c r="H139" s="686"/>
      <c r="I139" s="686"/>
      <c r="J139" s="686"/>
      <c r="K139" s="686"/>
      <c r="L139" s="686"/>
      <c r="M139" s="686"/>
      <c r="N139" s="686"/>
      <c r="O139" s="686"/>
      <c r="P139" s="686"/>
      <c r="Q139" s="686"/>
      <c r="R139" s="687"/>
      <c r="S139" s="477"/>
      <c r="AA139" s="472"/>
      <c r="AB139" s="473"/>
      <c r="AC139" s="474"/>
      <c r="AD139" s="475"/>
      <c r="AE139" s="473"/>
      <c r="AF139" s="476"/>
      <c r="AG139" s="469"/>
      <c r="AH139" s="469"/>
      <c r="AL139" s="463"/>
      <c r="AM139" s="463"/>
      <c r="AN139" s="463"/>
      <c r="AO139" s="463"/>
      <c r="AP139" s="463"/>
      <c r="AQ139" s="463"/>
      <c r="AR139" s="463"/>
      <c r="AS139" s="463"/>
    </row>
    <row r="140" spans="1:45" x14ac:dyDescent="0.25">
      <c r="B140" s="689"/>
      <c r="C140" s="690"/>
      <c r="D140" s="690"/>
      <c r="E140" s="690"/>
      <c r="F140" s="690"/>
      <c r="G140" s="690"/>
      <c r="H140" s="690"/>
      <c r="I140" s="690"/>
      <c r="J140" s="690"/>
      <c r="K140" s="690"/>
      <c r="L140" s="690"/>
      <c r="M140" s="690"/>
      <c r="N140" s="690"/>
      <c r="O140" s="690"/>
      <c r="P140" s="690"/>
      <c r="Q140" s="690"/>
      <c r="R140" s="691"/>
      <c r="S140" s="477" t="s">
        <v>320</v>
      </c>
      <c r="AA140" s="472"/>
      <c r="AB140" s="473"/>
      <c r="AC140" s="474"/>
      <c r="AD140" s="475"/>
      <c r="AE140" s="473"/>
      <c r="AF140" s="476"/>
      <c r="AG140" s="469"/>
      <c r="AH140" s="469"/>
      <c r="AL140" s="463"/>
      <c r="AM140" s="463"/>
      <c r="AN140" s="463"/>
      <c r="AO140" s="463"/>
      <c r="AP140" s="463"/>
      <c r="AQ140" s="463"/>
      <c r="AR140" s="463"/>
      <c r="AS140" s="463"/>
    </row>
    <row r="141" spans="1:45" ht="16.5" thickBot="1" x14ac:dyDescent="0.3">
      <c r="B141" s="692"/>
      <c r="C141" s="693"/>
      <c r="D141" s="693"/>
      <c r="E141" s="693"/>
      <c r="F141" s="693"/>
      <c r="G141" s="693"/>
      <c r="H141" s="693"/>
      <c r="I141" s="693"/>
      <c r="J141" s="693"/>
      <c r="K141" s="693"/>
      <c r="L141" s="693"/>
      <c r="M141" s="693"/>
      <c r="N141" s="693"/>
      <c r="O141" s="693"/>
      <c r="P141" s="693"/>
      <c r="Q141" s="693"/>
      <c r="R141" s="694"/>
      <c r="S141" s="477"/>
      <c r="AA141" s="472"/>
      <c r="AB141" s="473"/>
      <c r="AC141" s="474"/>
      <c r="AD141" s="475"/>
      <c r="AE141" s="473"/>
      <c r="AF141" s="476"/>
      <c r="AG141" s="469"/>
      <c r="AH141" s="469"/>
      <c r="AL141" s="463"/>
      <c r="AM141" s="463"/>
      <c r="AN141" s="463"/>
      <c r="AO141" s="463"/>
      <c r="AP141" s="463"/>
      <c r="AQ141" s="463"/>
      <c r="AR141" s="463"/>
      <c r="AS141" s="463"/>
    </row>
    <row r="142" spans="1:45" ht="16.5" thickBot="1" x14ac:dyDescent="0.25">
      <c r="B142" s="478">
        <v>39448</v>
      </c>
      <c r="C142" s="479">
        <v>36329</v>
      </c>
      <c r="D142" s="479">
        <v>6158</v>
      </c>
      <c r="E142" s="479">
        <v>49785</v>
      </c>
      <c r="F142" s="479"/>
      <c r="G142" s="479">
        <v>43491</v>
      </c>
      <c r="H142" s="479">
        <v>9268</v>
      </c>
      <c r="I142" s="479">
        <v>0</v>
      </c>
      <c r="J142" s="479"/>
      <c r="K142" s="479">
        <v>268</v>
      </c>
      <c r="L142" s="479">
        <v>201816</v>
      </c>
      <c r="M142" s="479">
        <v>17050</v>
      </c>
      <c r="N142" s="479">
        <v>6233</v>
      </c>
      <c r="O142" s="479"/>
      <c r="P142" s="479">
        <v>4007</v>
      </c>
      <c r="Q142" s="479">
        <v>14066</v>
      </c>
      <c r="R142" s="461">
        <v>388471</v>
      </c>
      <c r="V142" s="461" t="b">
        <f>+SUM(C142:Q142)=R142</f>
        <v>1</v>
      </c>
      <c r="AA142" s="480" t="s">
        <v>121</v>
      </c>
      <c r="AB142" s="481" t="s">
        <v>120</v>
      </c>
      <c r="AC142" s="482" t="s">
        <v>182</v>
      </c>
      <c r="AD142" s="483"/>
      <c r="AE142" s="482"/>
      <c r="AF142" s="484" t="s">
        <v>125</v>
      </c>
      <c r="AL142" s="463"/>
      <c r="AM142" s="463"/>
      <c r="AN142" s="463"/>
      <c r="AO142" s="463"/>
      <c r="AP142" s="463"/>
      <c r="AQ142" s="463"/>
      <c r="AR142" s="463"/>
      <c r="AS142" s="463"/>
    </row>
    <row r="143" spans="1:45" ht="16.5" thickBot="1" x14ac:dyDescent="0.25">
      <c r="B143" s="478">
        <v>39083</v>
      </c>
      <c r="C143" s="479">
        <v>35947</v>
      </c>
      <c r="D143" s="479">
        <v>6102</v>
      </c>
      <c r="E143" s="479">
        <v>48829</v>
      </c>
      <c r="F143" s="479"/>
      <c r="G143" s="479">
        <v>49624</v>
      </c>
      <c r="H143" s="479">
        <v>6124</v>
      </c>
      <c r="I143" s="479">
        <v>0</v>
      </c>
      <c r="J143" s="479"/>
      <c r="K143" s="479">
        <v>231</v>
      </c>
      <c r="L143" s="479">
        <v>202963</v>
      </c>
      <c r="M143" s="479">
        <v>16683</v>
      </c>
      <c r="N143" s="479">
        <v>5181</v>
      </c>
      <c r="O143" s="479"/>
      <c r="P143" s="479">
        <v>4798</v>
      </c>
      <c r="Q143" s="479">
        <v>12905</v>
      </c>
      <c r="R143" s="461">
        <v>389387</v>
      </c>
      <c r="V143" s="461" t="b">
        <f>+SUM(C143:Q143)=R143</f>
        <v>1</v>
      </c>
      <c r="W143" s="187"/>
      <c r="AA143" s="461" t="s">
        <v>126</v>
      </c>
      <c r="AL143" s="463"/>
      <c r="AM143" s="463"/>
      <c r="AN143" s="463"/>
      <c r="AO143" s="463"/>
      <c r="AP143" s="463"/>
      <c r="AQ143" s="463"/>
      <c r="AR143" s="463"/>
      <c r="AS143" s="463"/>
    </row>
    <row r="144" spans="1:45" x14ac:dyDescent="0.2">
      <c r="C144" s="577"/>
      <c r="D144" s="577"/>
      <c r="E144" s="577"/>
      <c r="F144" s="577"/>
      <c r="G144" s="577"/>
      <c r="H144" s="577"/>
      <c r="I144" s="577"/>
      <c r="J144" s="577"/>
      <c r="K144" s="577"/>
      <c r="L144" s="577"/>
      <c r="M144" s="577"/>
      <c r="N144" s="577"/>
      <c r="O144" s="577"/>
      <c r="P144" s="577"/>
      <c r="Q144" s="577"/>
      <c r="R144" s="577"/>
      <c r="S144" s="187"/>
      <c r="T144" s="187"/>
      <c r="U144" s="187"/>
      <c r="X144" s="262" t="s">
        <v>178</v>
      </c>
      <c r="Y144" s="263"/>
      <c r="Z144" s="180"/>
      <c r="AA144" s="188">
        <f>+R126/$R$120</f>
        <v>0</v>
      </c>
      <c r="AB144" s="180"/>
      <c r="AC144" s="180"/>
      <c r="AD144" s="188">
        <f>Z125/R121-1</f>
        <v>-1</v>
      </c>
      <c r="AE144" s="188">
        <f>AA125/R121-1</f>
        <v>-1</v>
      </c>
      <c r="AL144" s="463"/>
      <c r="AM144" s="463"/>
      <c r="AN144" s="463"/>
      <c r="AO144" s="463"/>
      <c r="AP144" s="463"/>
      <c r="AQ144" s="463"/>
      <c r="AR144" s="463"/>
      <c r="AS144" s="463"/>
    </row>
    <row r="145" spans="3:45" x14ac:dyDescent="0.2">
      <c r="X145" s="264">
        <v>1003612</v>
      </c>
      <c r="Y145" s="226" t="b">
        <f>X145=R121-J121</f>
        <v>0</v>
      </c>
      <c r="Z145" s="181"/>
      <c r="AA145" s="188">
        <f>+R127/$R$120</f>
        <v>0</v>
      </c>
      <c r="AB145" s="180"/>
      <c r="AC145" s="180"/>
      <c r="AD145" s="180"/>
      <c r="AE145" s="180"/>
      <c r="AL145" s="463"/>
      <c r="AM145" s="463"/>
      <c r="AN145" s="463"/>
      <c r="AO145" s="463"/>
      <c r="AP145" s="463"/>
      <c r="AQ145" s="463"/>
      <c r="AR145" s="463"/>
      <c r="AS145" s="463"/>
    </row>
    <row r="146" spans="3:45" x14ac:dyDescent="0.2">
      <c r="C146" s="485">
        <f t="shared" ref="C146:E157" si="39">+C29-C$142</f>
        <v>3012</v>
      </c>
      <c r="D146" s="485">
        <f t="shared" si="39"/>
        <v>1975</v>
      </c>
      <c r="E146" s="485">
        <f t="shared" si="39"/>
        <v>8509</v>
      </c>
      <c r="F146" s="485"/>
      <c r="G146" s="485">
        <f t="shared" ref="G146:I157" si="40">+G29-G$142</f>
        <v>44065</v>
      </c>
      <c r="H146" s="485">
        <f t="shared" si="40"/>
        <v>22652</v>
      </c>
      <c r="I146" s="485">
        <f t="shared" si="40"/>
        <v>0</v>
      </c>
      <c r="J146" s="485"/>
      <c r="K146" s="485">
        <f t="shared" ref="K146:N157" si="41">+K29-K$142</f>
        <v>318797</v>
      </c>
      <c r="L146" s="485">
        <f t="shared" si="41"/>
        <v>-201816</v>
      </c>
      <c r="M146" s="485">
        <f t="shared" si="41"/>
        <v>1075</v>
      </c>
      <c r="N146" s="485">
        <f t="shared" si="41"/>
        <v>1577</v>
      </c>
      <c r="O146" s="485"/>
      <c r="P146" s="485">
        <f t="shared" ref="P146:R148" si="42">+P29-P$142</f>
        <v>-918</v>
      </c>
      <c r="Q146" s="485">
        <f t="shared" si="42"/>
        <v>3857</v>
      </c>
      <c r="R146" s="485">
        <f t="shared" si="42"/>
        <v>203372</v>
      </c>
      <c r="S146" s="485"/>
      <c r="T146" s="485"/>
      <c r="U146" s="485"/>
      <c r="V146" s="187">
        <f>+R146/R$142</f>
        <v>0.52351913012811768</v>
      </c>
      <c r="X146" s="264" t="s">
        <v>179</v>
      </c>
      <c r="Y146" s="226"/>
      <c r="Z146" s="180"/>
      <c r="AA146" s="188">
        <f>+R128/$R$120</f>
        <v>0</v>
      </c>
      <c r="AB146" s="180"/>
      <c r="AC146" s="180"/>
      <c r="AD146" s="180"/>
      <c r="AE146" s="180"/>
      <c r="AL146" s="463"/>
      <c r="AM146" s="463"/>
      <c r="AN146" s="463"/>
      <c r="AO146" s="463"/>
      <c r="AP146" s="463"/>
      <c r="AQ146" s="463"/>
      <c r="AR146" s="463"/>
      <c r="AS146" s="463"/>
    </row>
    <row r="147" spans="3:45" x14ac:dyDescent="0.2">
      <c r="C147" s="485">
        <f t="shared" si="39"/>
        <v>3208</v>
      </c>
      <c r="D147" s="485">
        <f t="shared" si="39"/>
        <v>2064</v>
      </c>
      <c r="E147" s="485">
        <f t="shared" si="39"/>
        <v>8927</v>
      </c>
      <c r="F147" s="485"/>
      <c r="G147" s="485">
        <f t="shared" si="40"/>
        <v>45027</v>
      </c>
      <c r="H147" s="485">
        <f t="shared" si="40"/>
        <v>23194</v>
      </c>
      <c r="I147" s="485">
        <f t="shared" si="40"/>
        <v>0</v>
      </c>
      <c r="J147" s="485"/>
      <c r="K147" s="485">
        <f t="shared" si="41"/>
        <v>322511</v>
      </c>
      <c r="L147" s="485">
        <f t="shared" si="41"/>
        <v>-201816</v>
      </c>
      <c r="M147" s="485">
        <f t="shared" si="41"/>
        <v>1034</v>
      </c>
      <c r="N147" s="485">
        <f t="shared" si="41"/>
        <v>1553</v>
      </c>
      <c r="O147" s="485"/>
      <c r="P147" s="485">
        <f t="shared" si="42"/>
        <v>-1034</v>
      </c>
      <c r="Q147" s="485">
        <f t="shared" si="42"/>
        <v>3980</v>
      </c>
      <c r="R147" s="485">
        <f t="shared" si="42"/>
        <v>209234</v>
      </c>
      <c r="S147" s="485"/>
      <c r="T147" s="485"/>
      <c r="U147" s="485"/>
      <c r="V147" s="187">
        <f t="shared" ref="V147:V157" si="43">+R147/R$142</f>
        <v>0.53860905962092409</v>
      </c>
      <c r="X147" s="264">
        <v>464</v>
      </c>
      <c r="Y147" s="226" t="b">
        <f>X147=J121</f>
        <v>0</v>
      </c>
      <c r="Z147" s="181">
        <f>+R120-SUM(R126:R129)</f>
        <v>1363823</v>
      </c>
      <c r="AA147" s="188">
        <f>+R129/$R$120</f>
        <v>0</v>
      </c>
      <c r="AB147" s="190">
        <f>+Z147/R120</f>
        <v>1</v>
      </c>
      <c r="AC147" s="188"/>
      <c r="AD147" s="180"/>
      <c r="AE147" s="180"/>
    </row>
    <row r="148" spans="3:45" x14ac:dyDescent="0.2">
      <c r="C148" s="485">
        <f t="shared" si="39"/>
        <v>3271</v>
      </c>
      <c r="D148" s="485">
        <f t="shared" si="39"/>
        <v>2122</v>
      </c>
      <c r="E148" s="485">
        <f t="shared" si="39"/>
        <v>9152</v>
      </c>
      <c r="F148" s="485"/>
      <c r="G148" s="485">
        <f t="shared" si="40"/>
        <v>46510</v>
      </c>
      <c r="H148" s="485">
        <f t="shared" si="40"/>
        <v>23884</v>
      </c>
      <c r="I148" s="485">
        <f t="shared" si="40"/>
        <v>0</v>
      </c>
      <c r="J148" s="485"/>
      <c r="K148" s="485">
        <f t="shared" si="41"/>
        <v>325405</v>
      </c>
      <c r="L148" s="485">
        <f t="shared" si="41"/>
        <v>-201816</v>
      </c>
      <c r="M148" s="485">
        <f t="shared" si="41"/>
        <v>1069</v>
      </c>
      <c r="N148" s="485">
        <f t="shared" si="41"/>
        <v>1395</v>
      </c>
      <c r="O148" s="485"/>
      <c r="P148" s="485">
        <f t="shared" si="42"/>
        <v>-1233</v>
      </c>
      <c r="Q148" s="485">
        <f t="shared" si="42"/>
        <v>4090</v>
      </c>
      <c r="R148" s="485">
        <f t="shared" si="42"/>
        <v>214439</v>
      </c>
      <c r="S148" s="485"/>
      <c r="T148" s="485"/>
      <c r="U148" s="485"/>
      <c r="V148" s="187">
        <f t="shared" si="43"/>
        <v>0.55200774317774037</v>
      </c>
      <c r="X148" s="264"/>
      <c r="Y148" s="226"/>
      <c r="Z148" s="180"/>
      <c r="AA148" s="180"/>
      <c r="AB148" s="180"/>
      <c r="AC148" s="180"/>
      <c r="AD148" s="180"/>
      <c r="AE148" s="180"/>
    </row>
    <row r="149" spans="3:45" x14ac:dyDescent="0.2">
      <c r="C149" s="485">
        <f t="shared" si="39"/>
        <v>3368</v>
      </c>
      <c r="D149" s="485">
        <f t="shared" si="39"/>
        <v>2170</v>
      </c>
      <c r="E149" s="485">
        <f t="shared" si="39"/>
        <v>9374</v>
      </c>
      <c r="F149" s="485"/>
      <c r="G149" s="485">
        <f t="shared" si="40"/>
        <v>48171</v>
      </c>
      <c r="H149" s="485">
        <f t="shared" si="40"/>
        <v>24570</v>
      </c>
      <c r="I149" s="485">
        <f t="shared" si="40"/>
        <v>0</v>
      </c>
      <c r="J149" s="485"/>
      <c r="K149" s="485">
        <f t="shared" si="41"/>
        <v>328364</v>
      </c>
      <c r="L149" s="485">
        <f t="shared" si="41"/>
        <v>-201816</v>
      </c>
      <c r="M149" s="485">
        <f t="shared" si="41"/>
        <v>1046</v>
      </c>
      <c r="N149" s="485">
        <f t="shared" si="41"/>
        <v>1325</v>
      </c>
      <c r="O149" s="485"/>
      <c r="P149" s="485">
        <f t="shared" ref="P149:Q157" si="44">+P32-P$142</f>
        <v>-1350</v>
      </c>
      <c r="Q149" s="485">
        <f t="shared" si="44"/>
        <v>4248</v>
      </c>
      <c r="R149" s="485">
        <f>+R32-R$143</f>
        <v>219146</v>
      </c>
      <c r="S149" s="485"/>
      <c r="T149" s="485"/>
      <c r="U149" s="485"/>
      <c r="V149" s="187">
        <f>+R149/R$143</f>
        <v>0.56279742261554699</v>
      </c>
      <c r="X149" s="265" t="s">
        <v>180</v>
      </c>
      <c r="Y149" s="266"/>
      <c r="Z149" s="178"/>
      <c r="AA149" s="178"/>
      <c r="AB149" s="178"/>
      <c r="AC149" s="178"/>
      <c r="AD149" s="178"/>
      <c r="AE149" s="178"/>
    </row>
    <row r="150" spans="3:45" ht="16.5" thickBot="1" x14ac:dyDescent="0.25">
      <c r="C150" s="485">
        <f t="shared" si="39"/>
        <v>3460</v>
      </c>
      <c r="D150" s="485">
        <f t="shared" si="39"/>
        <v>2185</v>
      </c>
      <c r="E150" s="485">
        <f t="shared" si="39"/>
        <v>9513</v>
      </c>
      <c r="F150" s="485"/>
      <c r="G150" s="485">
        <f t="shared" si="40"/>
        <v>48950</v>
      </c>
      <c r="H150" s="485">
        <f t="shared" si="40"/>
        <v>25647</v>
      </c>
      <c r="I150" s="485">
        <f t="shared" si="40"/>
        <v>0</v>
      </c>
      <c r="J150" s="485"/>
      <c r="K150" s="485">
        <f t="shared" si="41"/>
        <v>331915</v>
      </c>
      <c r="L150" s="485">
        <f t="shared" si="41"/>
        <v>-201816</v>
      </c>
      <c r="M150" s="485">
        <f t="shared" si="41"/>
        <v>1027</v>
      </c>
      <c r="N150" s="485">
        <f t="shared" si="41"/>
        <v>1138</v>
      </c>
      <c r="O150" s="485"/>
      <c r="P150" s="485">
        <f t="shared" si="44"/>
        <v>-1464</v>
      </c>
      <c r="Q150" s="485">
        <f t="shared" si="44"/>
        <v>4518</v>
      </c>
      <c r="R150" s="485">
        <f>+R33-R$143</f>
        <v>224759</v>
      </c>
      <c r="S150" s="485"/>
      <c r="T150" s="485"/>
      <c r="U150" s="485"/>
      <c r="V150" s="187">
        <f>+R150/R$143</f>
        <v>0.57721238767601379</v>
      </c>
      <c r="X150" s="267">
        <f>X145+X147</f>
        <v>1004076</v>
      </c>
      <c r="Y150" s="268" t="b">
        <f>X150=R121</f>
        <v>0</v>
      </c>
      <c r="Z150" s="178"/>
      <c r="AA150" s="178"/>
      <c r="AB150" s="178"/>
      <c r="AC150" s="178"/>
      <c r="AD150" s="178"/>
      <c r="AE150" s="178"/>
    </row>
    <row r="151" spans="3:45" x14ac:dyDescent="0.2">
      <c r="C151" s="485">
        <f t="shared" si="39"/>
        <v>3514</v>
      </c>
      <c r="D151" s="485">
        <f t="shared" si="39"/>
        <v>2197</v>
      </c>
      <c r="E151" s="485">
        <f t="shared" si="39"/>
        <v>9599</v>
      </c>
      <c r="F151" s="485"/>
      <c r="G151" s="485">
        <f t="shared" si="40"/>
        <v>51287</v>
      </c>
      <c r="H151" s="485">
        <f t="shared" si="40"/>
        <v>25618</v>
      </c>
      <c r="I151" s="485">
        <f t="shared" si="40"/>
        <v>0</v>
      </c>
      <c r="J151" s="485"/>
      <c r="K151" s="485">
        <f t="shared" si="41"/>
        <v>335785</v>
      </c>
      <c r="L151" s="485">
        <f t="shared" si="41"/>
        <v>-201816</v>
      </c>
      <c r="M151" s="485">
        <f t="shared" si="41"/>
        <v>1122</v>
      </c>
      <c r="N151" s="485">
        <f t="shared" si="41"/>
        <v>1100</v>
      </c>
      <c r="O151" s="485"/>
      <c r="P151" s="485">
        <f t="shared" si="44"/>
        <v>-1416</v>
      </c>
      <c r="Q151" s="485">
        <f t="shared" si="44"/>
        <v>4732</v>
      </c>
      <c r="R151" s="485">
        <f t="shared" ref="R151:R157" si="45">+R34-R$142</f>
        <v>232328</v>
      </c>
      <c r="S151" s="485"/>
      <c r="T151" s="485"/>
      <c r="U151" s="485"/>
      <c r="V151" s="187">
        <f t="shared" si="43"/>
        <v>0.59805751265860252</v>
      </c>
    </row>
    <row r="152" spans="3:45" x14ac:dyDescent="0.25">
      <c r="C152" s="485">
        <f t="shared" si="39"/>
        <v>3413</v>
      </c>
      <c r="D152" s="485">
        <f t="shared" si="39"/>
        <v>2215</v>
      </c>
      <c r="E152" s="485">
        <f t="shared" si="39"/>
        <v>9924</v>
      </c>
      <c r="F152" s="485"/>
      <c r="G152" s="485">
        <f t="shared" si="40"/>
        <v>50032</v>
      </c>
      <c r="H152" s="485">
        <f t="shared" si="40"/>
        <v>26213</v>
      </c>
      <c r="I152" s="485">
        <f t="shared" si="40"/>
        <v>0</v>
      </c>
      <c r="J152" s="485"/>
      <c r="K152" s="485">
        <f t="shared" si="41"/>
        <v>335828</v>
      </c>
      <c r="L152" s="485">
        <f t="shared" si="41"/>
        <v>-201816</v>
      </c>
      <c r="M152" s="485">
        <f t="shared" si="41"/>
        <v>918</v>
      </c>
      <c r="N152" s="485">
        <f t="shared" si="41"/>
        <v>1212</v>
      </c>
      <c r="O152" s="485"/>
      <c r="P152" s="485">
        <f t="shared" si="44"/>
        <v>-1390</v>
      </c>
      <c r="Q152" s="485">
        <f t="shared" si="44"/>
        <v>4919</v>
      </c>
      <c r="R152" s="485">
        <f t="shared" si="45"/>
        <v>232071</v>
      </c>
      <c r="S152" s="485"/>
      <c r="T152" s="485"/>
      <c r="U152" s="485"/>
      <c r="V152" s="187">
        <f t="shared" si="43"/>
        <v>0.59739594461362622</v>
      </c>
      <c r="AA152" s="688" t="s">
        <v>133</v>
      </c>
      <c r="AB152" s="669"/>
    </row>
    <row r="153" spans="3:45" x14ac:dyDescent="0.25">
      <c r="C153" s="485">
        <f t="shared" si="39"/>
        <v>3471</v>
      </c>
      <c r="D153" s="485">
        <f t="shared" si="39"/>
        <v>2243</v>
      </c>
      <c r="E153" s="485">
        <f t="shared" si="39"/>
        <v>9850</v>
      </c>
      <c r="F153" s="485"/>
      <c r="G153" s="485">
        <f t="shared" si="40"/>
        <v>51377</v>
      </c>
      <c r="H153" s="485">
        <f t="shared" si="40"/>
        <v>26694</v>
      </c>
      <c r="I153" s="485">
        <f t="shared" si="40"/>
        <v>0</v>
      </c>
      <c r="J153" s="485"/>
      <c r="K153" s="485">
        <f t="shared" si="41"/>
        <v>339255</v>
      </c>
      <c r="L153" s="485">
        <f t="shared" si="41"/>
        <v>-201816</v>
      </c>
      <c r="M153" s="485">
        <f t="shared" si="41"/>
        <v>813</v>
      </c>
      <c r="N153" s="485">
        <f t="shared" si="41"/>
        <v>1361</v>
      </c>
      <c r="O153" s="485"/>
      <c r="P153" s="485">
        <f t="shared" si="44"/>
        <v>-1371</v>
      </c>
      <c r="Q153" s="485">
        <f t="shared" si="44"/>
        <v>5154</v>
      </c>
      <c r="R153" s="485">
        <f t="shared" si="45"/>
        <v>237635</v>
      </c>
      <c r="S153" s="485"/>
      <c r="T153" s="485"/>
      <c r="U153" s="485"/>
      <c r="V153" s="187">
        <f t="shared" si="43"/>
        <v>0.61171876407762737</v>
      </c>
      <c r="AA153" s="578"/>
      <c r="AB153" s="578"/>
    </row>
    <row r="154" spans="3:45" x14ac:dyDescent="0.25">
      <c r="C154" s="485">
        <f t="shared" si="39"/>
        <v>3520</v>
      </c>
      <c r="D154" s="485">
        <f t="shared" si="39"/>
        <v>2287</v>
      </c>
      <c r="E154" s="485">
        <f t="shared" si="39"/>
        <v>10062</v>
      </c>
      <c r="F154" s="485"/>
      <c r="G154" s="485">
        <f t="shared" si="40"/>
        <v>53827</v>
      </c>
      <c r="H154" s="485">
        <f t="shared" si="40"/>
        <v>27873</v>
      </c>
      <c r="I154" s="485">
        <f t="shared" si="40"/>
        <v>0</v>
      </c>
      <c r="J154" s="485"/>
      <c r="K154" s="485">
        <f t="shared" si="41"/>
        <v>341006</v>
      </c>
      <c r="L154" s="485">
        <f t="shared" si="41"/>
        <v>-201816</v>
      </c>
      <c r="M154" s="485">
        <f t="shared" si="41"/>
        <v>880</v>
      </c>
      <c r="N154" s="485">
        <f t="shared" si="41"/>
        <v>1501</v>
      </c>
      <c r="O154" s="485"/>
      <c r="P154" s="485">
        <f t="shared" si="44"/>
        <v>-1155</v>
      </c>
      <c r="Q154" s="485">
        <f t="shared" si="44"/>
        <v>5400</v>
      </c>
      <c r="R154" s="485">
        <f t="shared" si="45"/>
        <v>244040</v>
      </c>
      <c r="S154" s="485"/>
      <c r="T154" s="485"/>
      <c r="U154" s="485"/>
      <c r="V154" s="187">
        <f t="shared" si="43"/>
        <v>0.62820648130748502</v>
      </c>
      <c r="AA154" s="668" t="s">
        <v>134</v>
      </c>
      <c r="AB154" s="669"/>
    </row>
    <row r="155" spans="3:45" x14ac:dyDescent="0.25">
      <c r="C155" s="485">
        <f t="shared" si="39"/>
        <v>3508</v>
      </c>
      <c r="D155" s="485">
        <f t="shared" si="39"/>
        <v>2349</v>
      </c>
      <c r="E155" s="485">
        <f t="shared" si="39"/>
        <v>10185</v>
      </c>
      <c r="F155" s="485"/>
      <c r="G155" s="485">
        <f t="shared" si="40"/>
        <v>50826</v>
      </c>
      <c r="H155" s="485">
        <f t="shared" si="40"/>
        <v>28634</v>
      </c>
      <c r="I155" s="485">
        <f t="shared" si="40"/>
        <v>0</v>
      </c>
      <c r="J155" s="485"/>
      <c r="K155" s="485">
        <f t="shared" si="41"/>
        <v>341278</v>
      </c>
      <c r="L155" s="485">
        <f t="shared" si="41"/>
        <v>-201816</v>
      </c>
      <c r="M155" s="485">
        <f t="shared" si="41"/>
        <v>894</v>
      </c>
      <c r="N155" s="485">
        <f t="shared" si="41"/>
        <v>1472</v>
      </c>
      <c r="O155" s="485"/>
      <c r="P155" s="485">
        <f t="shared" si="44"/>
        <v>-1161</v>
      </c>
      <c r="Q155" s="485">
        <f t="shared" si="44"/>
        <v>5330</v>
      </c>
      <c r="R155" s="485">
        <f t="shared" si="45"/>
        <v>242228</v>
      </c>
      <c r="S155" s="485"/>
      <c r="T155" s="485"/>
      <c r="U155" s="485"/>
      <c r="V155" s="187">
        <f t="shared" si="43"/>
        <v>0.62354204046119277</v>
      </c>
      <c r="AA155" s="668" t="s">
        <v>135</v>
      </c>
      <c r="AB155" s="669"/>
    </row>
    <row r="156" spans="3:45" x14ac:dyDescent="0.25">
      <c r="C156" s="485">
        <f t="shared" si="39"/>
        <v>3595</v>
      </c>
      <c r="D156" s="485">
        <f t="shared" si="39"/>
        <v>2442</v>
      </c>
      <c r="E156" s="485">
        <f t="shared" si="39"/>
        <v>10382</v>
      </c>
      <c r="F156" s="485"/>
      <c r="G156" s="485">
        <f t="shared" si="40"/>
        <v>52090</v>
      </c>
      <c r="H156" s="485">
        <f t="shared" si="40"/>
        <v>29687</v>
      </c>
      <c r="I156" s="485">
        <f t="shared" si="40"/>
        <v>5860</v>
      </c>
      <c r="J156" s="485"/>
      <c r="K156" s="485">
        <f t="shared" si="41"/>
        <v>344255</v>
      </c>
      <c r="L156" s="485">
        <f t="shared" si="41"/>
        <v>-201816</v>
      </c>
      <c r="M156" s="485">
        <f t="shared" si="41"/>
        <v>962</v>
      </c>
      <c r="N156" s="485">
        <f t="shared" si="41"/>
        <v>1511</v>
      </c>
      <c r="O156" s="485"/>
      <c r="P156" s="485">
        <f t="shared" si="44"/>
        <v>-1163</v>
      </c>
      <c r="Q156" s="485">
        <f t="shared" si="44"/>
        <v>5574</v>
      </c>
      <c r="R156" s="485">
        <f t="shared" si="45"/>
        <v>254178</v>
      </c>
      <c r="S156" s="485"/>
      <c r="T156" s="485"/>
      <c r="U156" s="485"/>
      <c r="V156" s="187">
        <f t="shared" si="43"/>
        <v>0.65430366745522828</v>
      </c>
      <c r="AA156" s="668" t="s">
        <v>136</v>
      </c>
      <c r="AB156" s="669"/>
    </row>
    <row r="157" spans="3:45" x14ac:dyDescent="0.25">
      <c r="C157" s="485">
        <f t="shared" si="39"/>
        <v>3594</v>
      </c>
      <c r="D157" s="485">
        <f t="shared" si="39"/>
        <v>2447</v>
      </c>
      <c r="E157" s="485">
        <f t="shared" si="39"/>
        <v>10306</v>
      </c>
      <c r="F157" s="485"/>
      <c r="G157" s="485">
        <f t="shared" si="40"/>
        <v>54629</v>
      </c>
      <c r="H157" s="485">
        <f t="shared" si="40"/>
        <v>29653</v>
      </c>
      <c r="I157" s="485">
        <f t="shared" si="40"/>
        <v>7753</v>
      </c>
      <c r="J157" s="485"/>
      <c r="K157" s="485">
        <f t="shared" si="41"/>
        <v>347985</v>
      </c>
      <c r="L157" s="485">
        <f t="shared" si="41"/>
        <v>-201816</v>
      </c>
      <c r="M157" s="485">
        <f t="shared" si="41"/>
        <v>972</v>
      </c>
      <c r="N157" s="485">
        <f t="shared" si="41"/>
        <v>1613</v>
      </c>
      <c r="O157" s="485"/>
      <c r="P157" s="485">
        <f t="shared" si="44"/>
        <v>-1189</v>
      </c>
      <c r="Q157" s="485">
        <f t="shared" si="44"/>
        <v>5863</v>
      </c>
      <c r="R157" s="485">
        <f t="shared" si="45"/>
        <v>262651</v>
      </c>
      <c r="S157" s="485"/>
      <c r="T157" s="485"/>
      <c r="U157" s="485"/>
      <c r="V157" s="187">
        <f t="shared" si="43"/>
        <v>0.67611481938162699</v>
      </c>
      <c r="AA157" s="578"/>
      <c r="AB157" s="578"/>
    </row>
    <row r="158" spans="3:45" x14ac:dyDescent="0.25">
      <c r="AA158" s="578"/>
      <c r="AB158" s="578"/>
    </row>
    <row r="159" spans="3:45" x14ac:dyDescent="0.25">
      <c r="AA159" s="668" t="s">
        <v>137</v>
      </c>
      <c r="AB159" s="669"/>
    </row>
    <row r="160" spans="3:45" x14ac:dyDescent="0.25">
      <c r="L160" s="485">
        <f>+'[3]CBHP Caseload'!F117</f>
        <v>13958</v>
      </c>
      <c r="M160" s="485">
        <f>+L146+L160</f>
        <v>-187858</v>
      </c>
      <c r="R160" s="485">
        <f>R14-R142</f>
        <v>138305</v>
      </c>
      <c r="S160" s="485"/>
      <c r="T160" s="485"/>
      <c r="U160" s="485"/>
      <c r="AA160" s="668" t="s">
        <v>138</v>
      </c>
      <c r="AB160" s="669"/>
    </row>
    <row r="161" spans="3:28" x14ac:dyDescent="0.25">
      <c r="I161" s="479">
        <f>I43+J43+F43+'[3]CBHP Caseload'!E43+'[3]CBHP Caseload'!I43</f>
        <v>25700</v>
      </c>
      <c r="L161" s="485">
        <f>+'[3]CBHP Caseload'!F118</f>
        <v>14358</v>
      </c>
      <c r="M161" s="485">
        <f>+L147+L161</f>
        <v>-187458</v>
      </c>
      <c r="AA161" s="668" t="s">
        <v>139</v>
      </c>
      <c r="AB161" s="669"/>
    </row>
    <row r="162" spans="3:28" x14ac:dyDescent="0.25">
      <c r="L162" s="485">
        <f>+'[3]CBHP Caseload'!F119</f>
        <v>15070</v>
      </c>
      <c r="M162" s="485">
        <f>+L148+L162</f>
        <v>-186746</v>
      </c>
      <c r="AA162" s="668" t="s">
        <v>140</v>
      </c>
      <c r="AB162" s="669"/>
    </row>
    <row r="163" spans="3:28" x14ac:dyDescent="0.25">
      <c r="L163" s="485">
        <f>+'[3]CBHP Caseload'!F120</f>
        <v>17130</v>
      </c>
      <c r="M163" s="485">
        <f>+L149+L163</f>
        <v>-184686</v>
      </c>
      <c r="AA163" s="668" t="s">
        <v>141</v>
      </c>
      <c r="AB163" s="669"/>
    </row>
    <row r="164" spans="3:28" x14ac:dyDescent="0.25">
      <c r="L164" s="485">
        <f>+'[3]CBHP Caseload'!F121</f>
        <v>20333</v>
      </c>
      <c r="M164" s="485">
        <f t="shared" ref="M164:M171" si="46">+L150+L164</f>
        <v>-181483</v>
      </c>
      <c r="N164" s="187">
        <f>+L150/L143</f>
        <v>-0.99434872365899207</v>
      </c>
      <c r="O164" s="187"/>
      <c r="P164" s="577">
        <f>+L164/'[3]CBHP Caseload'!F110</f>
        <v>0.40902415964273503</v>
      </c>
      <c r="Q164" s="187">
        <f>+M164/(L143+'[3]CBHP Caseload'!F110)</f>
        <v>-0.71824960225428813</v>
      </c>
      <c r="AA164" s="668" t="s">
        <v>142</v>
      </c>
      <c r="AB164" s="669"/>
    </row>
    <row r="165" spans="3:28" x14ac:dyDescent="0.25">
      <c r="L165" s="485">
        <f>+'[3]CBHP Caseload'!F122</f>
        <v>22326</v>
      </c>
      <c r="M165" s="485">
        <f t="shared" si="46"/>
        <v>-179490</v>
      </c>
      <c r="AA165" s="668" t="s">
        <v>143</v>
      </c>
      <c r="AB165" s="669"/>
    </row>
    <row r="166" spans="3:28" x14ac:dyDescent="0.25">
      <c r="L166" s="485">
        <f>+'[3]CBHP Caseload'!F123</f>
        <v>27563</v>
      </c>
      <c r="M166" s="485">
        <f t="shared" si="46"/>
        <v>-174253</v>
      </c>
      <c r="R166" s="486">
        <f>R27+'[3]CBHP Caseload'!F27+'[3]CBHP Caseload'!J27</f>
        <v>654685</v>
      </c>
      <c r="S166" s="486"/>
      <c r="T166" s="486"/>
      <c r="U166" s="486"/>
      <c r="AA166" s="668" t="s">
        <v>144</v>
      </c>
      <c r="AB166" s="669"/>
    </row>
    <row r="167" spans="3:28" x14ac:dyDescent="0.25">
      <c r="L167" s="485">
        <f>+'[3]CBHP Caseload'!F124</f>
        <v>29738</v>
      </c>
      <c r="M167" s="485">
        <f t="shared" si="46"/>
        <v>-172078</v>
      </c>
      <c r="R167" s="479">
        <v>778523.779328287</v>
      </c>
      <c r="S167" s="479"/>
      <c r="T167" s="479"/>
      <c r="U167" s="479"/>
      <c r="AA167" s="668" t="s">
        <v>145</v>
      </c>
      <c r="AB167" s="669"/>
    </row>
    <row r="168" spans="3:28" x14ac:dyDescent="0.25">
      <c r="L168" s="485">
        <f>+'[3]CBHP Caseload'!F125</f>
        <v>32114</v>
      </c>
      <c r="M168" s="485">
        <f t="shared" si="46"/>
        <v>-169702</v>
      </c>
      <c r="R168" s="187">
        <f>+R167/R166-1</f>
        <v>0.18915780769115997</v>
      </c>
      <c r="S168" s="187"/>
      <c r="T168" s="187"/>
      <c r="U168" s="187"/>
      <c r="AA168" s="578"/>
      <c r="AB168" s="578"/>
    </row>
    <row r="169" spans="3:28" x14ac:dyDescent="0.2">
      <c r="L169" s="485">
        <f>+'[3]CBHP Caseload'!F126</f>
        <v>34341</v>
      </c>
      <c r="M169" s="485">
        <f t="shared" si="46"/>
        <v>-167475</v>
      </c>
    </row>
    <row r="170" spans="3:28" x14ac:dyDescent="0.2">
      <c r="L170" s="485">
        <f>+'[3]CBHP Caseload'!F127</f>
        <v>34579</v>
      </c>
      <c r="M170" s="485">
        <f t="shared" si="46"/>
        <v>-167237</v>
      </c>
    </row>
    <row r="171" spans="3:28" x14ac:dyDescent="0.2">
      <c r="L171" s="485">
        <f>+'[3]CBHP Caseload'!F128</f>
        <v>33145</v>
      </c>
      <c r="M171" s="485">
        <f t="shared" si="46"/>
        <v>-168671</v>
      </c>
    </row>
    <row r="173" spans="3:28" x14ac:dyDescent="0.25">
      <c r="G173" s="578"/>
    </row>
    <row r="175" spans="3:28" x14ac:dyDescent="0.2">
      <c r="C175" s="487"/>
      <c r="D175" s="487"/>
      <c r="E175" s="487"/>
      <c r="F175" s="487"/>
      <c r="G175" s="487"/>
      <c r="H175" s="487"/>
      <c r="I175" s="487"/>
      <c r="J175" s="487"/>
      <c r="K175" s="487"/>
    </row>
  </sheetData>
  <mergeCells count="25">
    <mergeCell ref="AA152:AB152"/>
    <mergeCell ref="B1:R1"/>
    <mergeCell ref="B131:R131"/>
    <mergeCell ref="B132:R132"/>
    <mergeCell ref="B133:R133"/>
    <mergeCell ref="B134:R134"/>
    <mergeCell ref="B136:R136"/>
    <mergeCell ref="B137:R137"/>
    <mergeCell ref="B138:R138"/>
    <mergeCell ref="B139:R139"/>
    <mergeCell ref="B140:R140"/>
    <mergeCell ref="B141:R141"/>
    <mergeCell ref="B135:R135"/>
    <mergeCell ref="AA167:AB167"/>
    <mergeCell ref="AA154:AB154"/>
    <mergeCell ref="AA155:AB155"/>
    <mergeCell ref="AA156:AB156"/>
    <mergeCell ref="AA159:AB159"/>
    <mergeCell ref="AA160:AB160"/>
    <mergeCell ref="AA161:AB161"/>
    <mergeCell ref="AA162:AB162"/>
    <mergeCell ref="AA163:AB163"/>
    <mergeCell ref="AA164:AB164"/>
    <mergeCell ref="AA165:AB165"/>
    <mergeCell ref="AA166:AB166"/>
  </mergeCells>
  <conditionalFormatting sqref="AN3:AN67">
    <cfRule type="containsText" dxfId="1" priority="1" operator="containsText" text="TRUE">
      <formula>NOT(ISERROR(SEARCH("TRUE",AN3)))</formula>
    </cfRule>
    <cfRule type="containsText" dxfId="0" priority="2" operator="containsText" text="FALSE">
      <formula>NOT(ISERROR(SEARCH("FALSE",AN3)))</formula>
    </cfRule>
  </conditionalFormatting>
  <printOptions horizontalCentered="1" gridLines="1"/>
  <pageMargins left="0.28999999999999998" right="0.28999999999999998" top="0.7" bottom="0.43" header="0.3" footer="0.27"/>
  <pageSetup scale="47" firstPageNumber="3"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theme="1"/>
  </sheetPr>
  <dimension ref="A1:X139"/>
  <sheetViews>
    <sheetView view="pageBreakPreview" topLeftCell="A79" zoomScale="80" zoomScaleNormal="100" zoomScaleSheetLayoutView="80" workbookViewId="0">
      <selection activeCell="E112" sqref="E112"/>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1.7109375" bestFit="1"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20" ht="19.5" thickBot="1" x14ac:dyDescent="0.25">
      <c r="A1" s="695" t="s">
        <v>290</v>
      </c>
      <c r="B1" s="696"/>
      <c r="C1" s="696"/>
      <c r="D1" s="696"/>
      <c r="E1" s="696"/>
      <c r="F1" s="696"/>
      <c r="G1" s="696"/>
      <c r="H1" s="696"/>
      <c r="I1" s="696"/>
      <c r="J1" s="696"/>
      <c r="K1" s="696"/>
      <c r="L1" s="696"/>
      <c r="M1" s="696"/>
      <c r="N1" s="696"/>
      <c r="O1" s="696"/>
      <c r="P1" s="696"/>
      <c r="Q1" s="697"/>
      <c r="R1" s="54"/>
    </row>
    <row r="2" spans="1:20" ht="79.5" thickBot="1" x14ac:dyDescent="0.25">
      <c r="A2" s="270"/>
      <c r="B2" s="271" t="s">
        <v>150</v>
      </c>
      <c r="C2" s="271" t="s">
        <v>151</v>
      </c>
      <c r="D2" s="271" t="s">
        <v>152</v>
      </c>
      <c r="E2" s="271" t="s">
        <v>103</v>
      </c>
      <c r="F2" s="271" t="s">
        <v>153</v>
      </c>
      <c r="G2" s="271" t="s">
        <v>154</v>
      </c>
      <c r="H2" s="271" t="s">
        <v>155</v>
      </c>
      <c r="I2" s="271" t="s">
        <v>19</v>
      </c>
      <c r="J2" s="271" t="s">
        <v>160</v>
      </c>
      <c r="K2" s="271" t="s">
        <v>156</v>
      </c>
      <c r="L2" s="271" t="s">
        <v>20</v>
      </c>
      <c r="M2" s="271" t="s">
        <v>157</v>
      </c>
      <c r="N2" s="271" t="s">
        <v>158</v>
      </c>
      <c r="O2" s="271" t="s">
        <v>159</v>
      </c>
      <c r="P2" s="271" t="s">
        <v>32</v>
      </c>
      <c r="Q2" s="272" t="s">
        <v>0</v>
      </c>
      <c r="R2" s="323"/>
    </row>
    <row r="3" spans="1:20" ht="19.5" thickBot="1" x14ac:dyDescent="0.25">
      <c r="A3" s="382" t="s">
        <v>291</v>
      </c>
      <c r="B3" s="383"/>
      <c r="C3" s="383"/>
      <c r="D3" s="383"/>
      <c r="E3" s="383"/>
      <c r="F3" s="383"/>
      <c r="G3" s="383"/>
      <c r="H3" s="383"/>
      <c r="I3" s="383"/>
      <c r="J3" s="383"/>
      <c r="K3" s="383"/>
      <c r="L3" s="383"/>
      <c r="M3" s="383"/>
      <c r="N3" s="383"/>
      <c r="O3" s="383"/>
      <c r="P3" s="383"/>
      <c r="Q3" s="384"/>
      <c r="R3" s="323"/>
    </row>
    <row r="4" spans="1:20" ht="15.75" x14ac:dyDescent="0.2">
      <c r="A4" s="223">
        <v>42552</v>
      </c>
      <c r="B4" s="212">
        <f>'Medicaid Caseload Adjusted'!C107-'Caseload by Program Adjusted'!B18</f>
        <v>38290</v>
      </c>
      <c r="C4" s="212">
        <f>'Medicaid Caseload Adjusted'!D107-'Caseload by Program Adjusted'!C18</f>
        <v>9529</v>
      </c>
      <c r="D4" s="212">
        <f>'Medicaid Caseload Adjusted'!E107-'Caseload by Program Adjusted'!D18</f>
        <v>58680</v>
      </c>
      <c r="E4" s="212">
        <f>'Medicaid Caseload Adjusted'!F107-'Caseload by Program Adjusted'!E18</f>
        <v>6919</v>
      </c>
      <c r="F4" s="212">
        <f>'Medicaid Caseload Adjusted'!G107-'Caseload by Program Adjusted'!F18</f>
        <v>161273</v>
      </c>
      <c r="G4" s="212">
        <f>'Medicaid Caseload Adjusted'!H107-'Caseload by Program Adjusted'!G18</f>
        <v>70901</v>
      </c>
      <c r="H4" s="212">
        <f>'Medicaid Caseload Adjusted'!I107-'Caseload by Program Adjusted'!H18</f>
        <v>336311</v>
      </c>
      <c r="I4" s="212">
        <f>'Medicaid Caseload Adjusted'!J107-'Caseload by Program Adjusted'!I18</f>
        <v>142</v>
      </c>
      <c r="J4" s="212">
        <f>'Medicaid Caseload Adjusted'!K107-'Caseload by Program Adjusted'!J18</f>
        <v>414421</v>
      </c>
      <c r="K4" s="212">
        <f>'Medicaid Caseload Adjusted'!L107-'Caseload by Program Adjusted'!K18</f>
        <v>59356</v>
      </c>
      <c r="L4" s="212">
        <f>'Medicaid Caseload Adjusted'!M107-'Caseload by Program Adjusted'!L18</f>
        <v>20042</v>
      </c>
      <c r="M4" s="212">
        <f>'Medicaid Caseload Adjusted'!N107-'Caseload by Program Adjusted'!M18</f>
        <v>10020</v>
      </c>
      <c r="N4" s="212">
        <f>'Medicaid Caseload Adjusted'!O107-'Caseload by Program Adjusted'!N18</f>
        <v>2010</v>
      </c>
      <c r="O4" s="212">
        <f>'Medicaid Caseload Adjusted'!P107-'Caseload by Program Adjusted'!O18</f>
        <v>2925</v>
      </c>
      <c r="P4" s="212">
        <f>'Medicaid Caseload Adjusted'!Q107-'Caseload by Program Adjusted'!P18</f>
        <v>34829</v>
      </c>
      <c r="Q4" s="224">
        <f>'Medicaid Caseload Adjusted'!R107-'Caseload by Program Adjusted'!Q18</f>
        <v>1225648</v>
      </c>
      <c r="R4" s="56" t="b">
        <f t="shared" ref="R4:R16" si="0">SUM(B4:P4)=Q4</f>
        <v>1</v>
      </c>
    </row>
    <row r="5" spans="1:20" ht="15.75" x14ac:dyDescent="0.2">
      <c r="A5" s="217">
        <v>42583</v>
      </c>
      <c r="B5" s="3"/>
      <c r="C5" s="3"/>
      <c r="D5" s="3"/>
      <c r="E5" s="3"/>
      <c r="F5" s="3"/>
      <c r="G5" s="3"/>
      <c r="H5" s="3"/>
      <c r="I5" s="3"/>
      <c r="J5" s="3"/>
      <c r="K5" s="3"/>
      <c r="L5" s="3"/>
      <c r="M5" s="3"/>
      <c r="N5" s="3"/>
      <c r="O5" s="3"/>
      <c r="P5" s="3"/>
      <c r="Q5" s="218"/>
      <c r="R5" s="56" t="b">
        <f t="shared" si="0"/>
        <v>1</v>
      </c>
    </row>
    <row r="6" spans="1:20" ht="15.75" x14ac:dyDescent="0.2">
      <c r="A6" s="217">
        <v>42614</v>
      </c>
      <c r="B6" s="3"/>
      <c r="C6" s="3"/>
      <c r="D6" s="3"/>
      <c r="E6" s="3"/>
      <c r="F6" s="3"/>
      <c r="G6" s="3"/>
      <c r="H6" s="3"/>
      <c r="I6" s="3"/>
      <c r="J6" s="3"/>
      <c r="K6" s="3"/>
      <c r="L6" s="3"/>
      <c r="M6" s="3"/>
      <c r="N6" s="3"/>
      <c r="O6" s="3"/>
      <c r="P6" s="3"/>
      <c r="Q6" s="218"/>
      <c r="R6" s="56" t="b">
        <f t="shared" si="0"/>
        <v>1</v>
      </c>
    </row>
    <row r="7" spans="1:20" ht="15.75" x14ac:dyDescent="0.2">
      <c r="A7" s="217">
        <v>42644</v>
      </c>
      <c r="B7" s="3"/>
      <c r="C7" s="3"/>
      <c r="D7" s="3"/>
      <c r="E7" s="3"/>
      <c r="F7" s="3"/>
      <c r="G7" s="3"/>
      <c r="H7" s="3"/>
      <c r="I7" s="3"/>
      <c r="J7" s="3"/>
      <c r="K7" s="3"/>
      <c r="L7" s="3"/>
      <c r="M7" s="3"/>
      <c r="N7" s="3"/>
      <c r="O7" s="3"/>
      <c r="P7" s="3"/>
      <c r="Q7" s="218"/>
      <c r="R7" s="56" t="b">
        <f t="shared" si="0"/>
        <v>1</v>
      </c>
    </row>
    <row r="8" spans="1:20" ht="15.75" x14ac:dyDescent="0.2">
      <c r="A8" s="217">
        <v>42675</v>
      </c>
      <c r="B8" s="3"/>
      <c r="C8" s="3"/>
      <c r="D8" s="3"/>
      <c r="E8" s="3"/>
      <c r="F8" s="3"/>
      <c r="G8" s="3"/>
      <c r="H8" s="3"/>
      <c r="I8" s="3"/>
      <c r="J8" s="3"/>
      <c r="K8" s="3"/>
      <c r="L8" s="3"/>
      <c r="M8" s="3"/>
      <c r="N8" s="3"/>
      <c r="O8" s="3"/>
      <c r="P8" s="3"/>
      <c r="Q8" s="218"/>
      <c r="R8" s="56" t="b">
        <f t="shared" si="0"/>
        <v>1</v>
      </c>
    </row>
    <row r="9" spans="1:20" ht="15.75" x14ac:dyDescent="0.2">
      <c r="A9" s="217">
        <v>42705</v>
      </c>
      <c r="B9" s="3"/>
      <c r="C9" s="3"/>
      <c r="D9" s="3"/>
      <c r="E9" s="3"/>
      <c r="F9" s="3"/>
      <c r="G9" s="3"/>
      <c r="H9" s="3"/>
      <c r="I9" s="3"/>
      <c r="J9" s="3"/>
      <c r="K9" s="3"/>
      <c r="L9" s="3"/>
      <c r="M9" s="3"/>
      <c r="N9" s="3"/>
      <c r="O9" s="3"/>
      <c r="P9" s="3"/>
      <c r="Q9" s="218"/>
      <c r="R9" s="56" t="b">
        <f t="shared" si="0"/>
        <v>1</v>
      </c>
    </row>
    <row r="10" spans="1:20" ht="15.75" x14ac:dyDescent="0.2">
      <c r="A10" s="217">
        <v>42736</v>
      </c>
      <c r="B10" s="3"/>
      <c r="C10" s="3"/>
      <c r="D10" s="3"/>
      <c r="E10" s="3"/>
      <c r="F10" s="3"/>
      <c r="G10" s="3"/>
      <c r="H10" s="3"/>
      <c r="I10" s="3"/>
      <c r="J10" s="3"/>
      <c r="K10" s="3"/>
      <c r="L10" s="3"/>
      <c r="M10" s="3"/>
      <c r="N10" s="3"/>
      <c r="O10" s="3"/>
      <c r="P10" s="3"/>
      <c r="Q10" s="218"/>
      <c r="R10" s="56" t="b">
        <f t="shared" si="0"/>
        <v>1</v>
      </c>
    </row>
    <row r="11" spans="1:20" ht="15.75" x14ac:dyDescent="0.2">
      <c r="A11" s="217">
        <v>42767</v>
      </c>
      <c r="B11" s="3"/>
      <c r="C11" s="3"/>
      <c r="D11" s="3"/>
      <c r="E11" s="3"/>
      <c r="F11" s="3"/>
      <c r="G11" s="3"/>
      <c r="H11" s="3"/>
      <c r="I11" s="3"/>
      <c r="J11" s="3"/>
      <c r="K11" s="3"/>
      <c r="L11" s="3"/>
      <c r="M11" s="3"/>
      <c r="N11" s="3"/>
      <c r="O11" s="3"/>
      <c r="P11" s="3"/>
      <c r="Q11" s="218"/>
      <c r="R11" s="56" t="b">
        <f t="shared" si="0"/>
        <v>1</v>
      </c>
    </row>
    <row r="12" spans="1:20" ht="15.75" x14ac:dyDescent="0.2">
      <c r="A12" s="217">
        <v>42795</v>
      </c>
      <c r="B12" s="579"/>
      <c r="C12" s="579"/>
      <c r="D12" s="579"/>
      <c r="E12" s="579"/>
      <c r="F12" s="579"/>
      <c r="G12" s="579"/>
      <c r="H12" s="579"/>
      <c r="I12" s="579"/>
      <c r="J12" s="579"/>
      <c r="K12" s="579"/>
      <c r="L12" s="579"/>
      <c r="M12" s="579"/>
      <c r="N12" s="579"/>
      <c r="O12" s="579"/>
      <c r="P12" s="579"/>
      <c r="Q12" s="581"/>
      <c r="R12" s="56" t="b">
        <f t="shared" si="0"/>
        <v>1</v>
      </c>
    </row>
    <row r="13" spans="1:20" ht="15.75" x14ac:dyDescent="0.2">
      <c r="A13" s="217">
        <v>42826</v>
      </c>
      <c r="B13" s="579"/>
      <c r="C13" s="579"/>
      <c r="D13" s="579"/>
      <c r="E13" s="579"/>
      <c r="F13" s="579"/>
      <c r="G13" s="579"/>
      <c r="H13" s="579"/>
      <c r="I13" s="579"/>
      <c r="J13" s="579"/>
      <c r="K13" s="579"/>
      <c r="L13" s="579"/>
      <c r="M13" s="579"/>
      <c r="N13" s="579"/>
      <c r="O13" s="579"/>
      <c r="P13" s="579"/>
      <c r="Q13" s="581"/>
      <c r="R13" s="56" t="b">
        <f t="shared" si="0"/>
        <v>1</v>
      </c>
    </row>
    <row r="14" spans="1:20" ht="15.75" x14ac:dyDescent="0.2">
      <c r="A14" s="217">
        <v>42856</v>
      </c>
      <c r="B14" s="579"/>
      <c r="C14" s="579"/>
      <c r="D14" s="579"/>
      <c r="E14" s="579"/>
      <c r="F14" s="579"/>
      <c r="G14" s="579"/>
      <c r="H14" s="579"/>
      <c r="I14" s="579"/>
      <c r="J14" s="579"/>
      <c r="K14" s="579"/>
      <c r="L14" s="579"/>
      <c r="M14" s="579"/>
      <c r="N14" s="579"/>
      <c r="O14" s="579"/>
      <c r="P14" s="579"/>
      <c r="Q14" s="581"/>
      <c r="R14" s="56" t="b">
        <f t="shared" si="0"/>
        <v>1</v>
      </c>
    </row>
    <row r="15" spans="1:20" ht="16.5" thickBot="1" x14ac:dyDescent="0.25">
      <c r="A15" s="273">
        <v>42887</v>
      </c>
      <c r="B15" s="603"/>
      <c r="C15" s="603"/>
      <c r="D15" s="603"/>
      <c r="E15" s="603"/>
      <c r="F15" s="603"/>
      <c r="G15" s="603"/>
      <c r="H15" s="603"/>
      <c r="I15" s="603"/>
      <c r="J15" s="603"/>
      <c r="K15" s="603"/>
      <c r="L15" s="603"/>
      <c r="M15" s="603"/>
      <c r="N15" s="603"/>
      <c r="O15" s="603"/>
      <c r="P15" s="603"/>
      <c r="Q15" s="604"/>
      <c r="R15" s="56" t="b">
        <f t="shared" si="0"/>
        <v>1</v>
      </c>
      <c r="T15" s="278" t="b">
        <f>ROUND(Q16,0)=ROUND(SUM(B16:P16),0)</f>
        <v>1</v>
      </c>
    </row>
    <row r="16" spans="1:20" ht="17.25" thickTop="1" thickBot="1" x14ac:dyDescent="0.3">
      <c r="A16" s="225" t="s">
        <v>323</v>
      </c>
      <c r="B16" s="5">
        <f>ROUND(+AVERAGE(B4:B15),0)</f>
        <v>38290</v>
      </c>
      <c r="C16" s="5">
        <f>ROUND(+AVERAGE(C4:C15),0)</f>
        <v>9529</v>
      </c>
      <c r="D16" s="5">
        <f>ROUNDDOWN(+AVERAGE(D4:D15),0)</f>
        <v>58680</v>
      </c>
      <c r="E16" s="5">
        <f t="shared" ref="E16:O16" si="1">ROUND(+AVERAGE(E4:E15),0)</f>
        <v>6919</v>
      </c>
      <c r="F16" s="5">
        <f>ROUND(+AVERAGE(F4:F15),0)</f>
        <v>161273</v>
      </c>
      <c r="G16" s="5">
        <f>ROUND(+AVERAGE(G4:G15),0)</f>
        <v>70901</v>
      </c>
      <c r="H16" s="5">
        <f>ROUND(+AVERAGE(H4:H15),0)</f>
        <v>336311</v>
      </c>
      <c r="I16" s="5">
        <f t="shared" si="1"/>
        <v>142</v>
      </c>
      <c r="J16" s="5">
        <f>ROUND(+AVERAGE(J4:J15),0)</f>
        <v>414421</v>
      </c>
      <c r="K16" s="5">
        <f>ROUND(+AVERAGE(K4:K15),0)</f>
        <v>59356</v>
      </c>
      <c r="L16" s="5">
        <f t="shared" si="1"/>
        <v>20042</v>
      </c>
      <c r="M16" s="5">
        <f t="shared" si="1"/>
        <v>10020</v>
      </c>
      <c r="N16" s="5">
        <f t="shared" si="1"/>
        <v>2010</v>
      </c>
      <c r="O16" s="5">
        <f t="shared" si="1"/>
        <v>2925</v>
      </c>
      <c r="P16" s="5">
        <f>ROUNDDOWN(+AVERAGE(P4:P15),0)</f>
        <v>34829</v>
      </c>
      <c r="Q16" s="226">
        <f>ROUND(SUM(B16:P16),0)</f>
        <v>1225648</v>
      </c>
      <c r="R16" s="56" t="b">
        <f t="shared" si="0"/>
        <v>1</v>
      </c>
      <c r="S16" s="5" t="b">
        <f>ROUND(Q16,0)=ROUND(AVERAGE(Q4:Q15),0)</f>
        <v>1</v>
      </c>
      <c r="T16" s="322" t="s">
        <v>296</v>
      </c>
    </row>
    <row r="17" spans="1:21" ht="19.5" thickBot="1" x14ac:dyDescent="0.25">
      <c r="A17" s="382" t="s">
        <v>292</v>
      </c>
      <c r="B17" s="383"/>
      <c r="C17" s="383"/>
      <c r="D17" s="383"/>
      <c r="E17" s="383"/>
      <c r="F17" s="383"/>
      <c r="G17" s="383"/>
      <c r="H17" s="383"/>
      <c r="I17" s="383"/>
      <c r="J17" s="383"/>
      <c r="K17" s="383"/>
      <c r="L17" s="383"/>
      <c r="M17" s="383"/>
      <c r="N17" s="383"/>
      <c r="O17" s="383"/>
      <c r="P17" s="383"/>
      <c r="Q17" s="384"/>
      <c r="R17" s="324"/>
    </row>
    <row r="18" spans="1:21" ht="15.75" x14ac:dyDescent="0.2">
      <c r="A18" s="223">
        <f>A4</f>
        <v>42552</v>
      </c>
      <c r="B18" s="212">
        <f t="shared" ref="B18:P18" si="2">SUM(B32,B46,B60,B74)</f>
        <v>6606</v>
      </c>
      <c r="C18" s="212">
        <f t="shared" si="2"/>
        <v>1881</v>
      </c>
      <c r="D18" s="212">
        <f t="shared" si="2"/>
        <v>8329</v>
      </c>
      <c r="E18" s="212">
        <f t="shared" si="2"/>
        <v>355</v>
      </c>
      <c r="F18" s="212">
        <f t="shared" si="2"/>
        <v>20367</v>
      </c>
      <c r="G18" s="212">
        <f t="shared" si="2"/>
        <v>11428</v>
      </c>
      <c r="H18" s="212">
        <f t="shared" si="2"/>
        <v>34363</v>
      </c>
      <c r="I18" s="212">
        <f t="shared" si="2"/>
        <v>8</v>
      </c>
      <c r="J18" s="212">
        <f t="shared" si="2"/>
        <v>43359</v>
      </c>
      <c r="K18" s="212">
        <f t="shared" si="2"/>
        <v>6111</v>
      </c>
      <c r="L18" s="212">
        <f t="shared" si="2"/>
        <v>609</v>
      </c>
      <c r="M18" s="212">
        <f t="shared" si="2"/>
        <v>1525</v>
      </c>
      <c r="N18" s="212">
        <f t="shared" si="2"/>
        <v>167</v>
      </c>
      <c r="O18" s="212">
        <f t="shared" si="2"/>
        <v>0</v>
      </c>
      <c r="P18" s="212">
        <f t="shared" si="2"/>
        <v>4</v>
      </c>
      <c r="Q18" s="224">
        <f>ROUND(SUM(Q32,Q46,Q60,Q74),0)</f>
        <v>135112</v>
      </c>
      <c r="R18" s="56" t="b">
        <f>SUM(B18:P18)=Q18</f>
        <v>1</v>
      </c>
    </row>
    <row r="19" spans="1:21" ht="15.75" x14ac:dyDescent="0.2">
      <c r="A19" s="217">
        <f t="shared" ref="A19:A30" si="3">A5</f>
        <v>42583</v>
      </c>
      <c r="B19" s="3"/>
      <c r="C19" s="3"/>
      <c r="D19" s="3"/>
      <c r="E19" s="3"/>
      <c r="F19" s="3"/>
      <c r="G19" s="3"/>
      <c r="H19" s="3"/>
      <c r="I19" s="3"/>
      <c r="J19" s="3"/>
      <c r="K19" s="3"/>
      <c r="L19" s="3"/>
      <c r="M19" s="3"/>
      <c r="N19" s="3"/>
      <c r="O19" s="3"/>
      <c r="P19" s="3"/>
      <c r="Q19" s="218"/>
      <c r="R19" s="56" t="b">
        <f t="shared" ref="R19:R30" si="4">SUM(B19:P19)=Q19</f>
        <v>1</v>
      </c>
    </row>
    <row r="20" spans="1:21" ht="15.75" x14ac:dyDescent="0.2">
      <c r="A20" s="217">
        <f t="shared" si="3"/>
        <v>42614</v>
      </c>
      <c r="B20" s="3"/>
      <c r="C20" s="3"/>
      <c r="D20" s="3"/>
      <c r="E20" s="3"/>
      <c r="F20" s="3"/>
      <c r="G20" s="3"/>
      <c r="H20" s="3"/>
      <c r="I20" s="3"/>
      <c r="J20" s="3"/>
      <c r="K20" s="3"/>
      <c r="L20" s="3"/>
      <c r="M20" s="3"/>
      <c r="N20" s="3"/>
      <c r="O20" s="3"/>
      <c r="P20" s="3"/>
      <c r="Q20" s="218"/>
      <c r="R20" s="56" t="b">
        <f t="shared" si="4"/>
        <v>1</v>
      </c>
    </row>
    <row r="21" spans="1:21" ht="15.75" x14ac:dyDescent="0.2">
      <c r="A21" s="217">
        <f t="shared" si="3"/>
        <v>42644</v>
      </c>
      <c r="B21" s="3"/>
      <c r="C21" s="3"/>
      <c r="D21" s="3"/>
      <c r="E21" s="3"/>
      <c r="F21" s="3"/>
      <c r="G21" s="3"/>
      <c r="H21" s="3"/>
      <c r="I21" s="3"/>
      <c r="J21" s="3"/>
      <c r="K21" s="3"/>
      <c r="L21" s="3"/>
      <c r="M21" s="3"/>
      <c r="N21" s="3"/>
      <c r="O21" s="3"/>
      <c r="P21" s="3"/>
      <c r="Q21" s="218"/>
      <c r="R21" s="56" t="b">
        <f t="shared" si="4"/>
        <v>1</v>
      </c>
    </row>
    <row r="22" spans="1:21" ht="15.75" x14ac:dyDescent="0.2">
      <c r="A22" s="217">
        <f t="shared" si="3"/>
        <v>42675</v>
      </c>
      <c r="B22" s="3"/>
      <c r="C22" s="3"/>
      <c r="D22" s="3"/>
      <c r="E22" s="3"/>
      <c r="F22" s="3"/>
      <c r="G22" s="3"/>
      <c r="H22" s="3"/>
      <c r="I22" s="3"/>
      <c r="J22" s="3"/>
      <c r="K22" s="3"/>
      <c r="L22" s="3"/>
      <c r="M22" s="3"/>
      <c r="N22" s="3"/>
      <c r="O22" s="3"/>
      <c r="P22" s="3"/>
      <c r="Q22" s="218"/>
      <c r="R22" s="56" t="b">
        <f t="shared" si="4"/>
        <v>1</v>
      </c>
    </row>
    <row r="23" spans="1:21" ht="15.75" x14ac:dyDescent="0.2">
      <c r="A23" s="217">
        <f t="shared" si="3"/>
        <v>42705</v>
      </c>
      <c r="B23" s="3"/>
      <c r="C23" s="3"/>
      <c r="D23" s="3"/>
      <c r="E23" s="3"/>
      <c r="F23" s="3"/>
      <c r="G23" s="3"/>
      <c r="H23" s="3"/>
      <c r="I23" s="3"/>
      <c r="J23" s="3"/>
      <c r="K23" s="3"/>
      <c r="L23" s="3"/>
      <c r="M23" s="3"/>
      <c r="N23" s="3"/>
      <c r="O23" s="3"/>
      <c r="P23" s="3"/>
      <c r="Q23" s="218"/>
      <c r="R23" s="56" t="b">
        <f t="shared" si="4"/>
        <v>1</v>
      </c>
    </row>
    <row r="24" spans="1:21" ht="15.75" x14ac:dyDescent="0.2">
      <c r="A24" s="217">
        <f t="shared" si="3"/>
        <v>42736</v>
      </c>
      <c r="B24" s="3"/>
      <c r="C24" s="3"/>
      <c r="D24" s="3"/>
      <c r="E24" s="3"/>
      <c r="F24" s="3"/>
      <c r="G24" s="3"/>
      <c r="H24" s="3"/>
      <c r="I24" s="3"/>
      <c r="J24" s="3"/>
      <c r="K24" s="3"/>
      <c r="L24" s="3"/>
      <c r="M24" s="3"/>
      <c r="N24" s="3"/>
      <c r="O24" s="3"/>
      <c r="P24" s="3"/>
      <c r="Q24" s="218"/>
      <c r="R24" s="56" t="b">
        <f t="shared" si="4"/>
        <v>1</v>
      </c>
    </row>
    <row r="25" spans="1:21" ht="15.75" x14ac:dyDescent="0.2">
      <c r="A25" s="217">
        <f t="shared" si="3"/>
        <v>42767</v>
      </c>
      <c r="B25" s="3"/>
      <c r="C25" s="3"/>
      <c r="D25" s="3"/>
      <c r="E25" s="3"/>
      <c r="F25" s="3"/>
      <c r="G25" s="3"/>
      <c r="H25" s="3"/>
      <c r="I25" s="3"/>
      <c r="J25" s="3"/>
      <c r="K25" s="3"/>
      <c r="L25" s="3"/>
      <c r="M25" s="3"/>
      <c r="N25" s="3"/>
      <c r="O25" s="3"/>
      <c r="P25" s="3"/>
      <c r="Q25" s="218"/>
      <c r="R25" s="56" t="b">
        <f t="shared" si="4"/>
        <v>1</v>
      </c>
    </row>
    <row r="26" spans="1:21" ht="15.75" x14ac:dyDescent="0.2">
      <c r="A26" s="217">
        <f t="shared" si="3"/>
        <v>42795</v>
      </c>
      <c r="B26" s="579"/>
      <c r="C26" s="579"/>
      <c r="D26" s="579"/>
      <c r="E26" s="579"/>
      <c r="F26" s="579"/>
      <c r="G26" s="579"/>
      <c r="H26" s="579"/>
      <c r="I26" s="579"/>
      <c r="J26" s="579"/>
      <c r="K26" s="579"/>
      <c r="L26" s="579"/>
      <c r="M26" s="579"/>
      <c r="N26" s="579"/>
      <c r="O26" s="579"/>
      <c r="P26" s="579"/>
      <c r="Q26" s="581"/>
      <c r="R26" s="56" t="b">
        <f t="shared" si="4"/>
        <v>1</v>
      </c>
    </row>
    <row r="27" spans="1:21" ht="15.75" x14ac:dyDescent="0.2">
      <c r="A27" s="217">
        <f t="shared" si="3"/>
        <v>42826</v>
      </c>
      <c r="B27" s="579"/>
      <c r="C27" s="579"/>
      <c r="D27" s="579"/>
      <c r="E27" s="579"/>
      <c r="F27" s="579"/>
      <c r="G27" s="579"/>
      <c r="H27" s="579"/>
      <c r="I27" s="579"/>
      <c r="J27" s="579"/>
      <c r="K27" s="579"/>
      <c r="L27" s="579"/>
      <c r="M27" s="579"/>
      <c r="N27" s="579"/>
      <c r="O27" s="579"/>
      <c r="P27" s="579"/>
      <c r="Q27" s="581"/>
      <c r="R27" s="56" t="b">
        <f t="shared" si="4"/>
        <v>1</v>
      </c>
    </row>
    <row r="28" spans="1:21" ht="15.75" x14ac:dyDescent="0.2">
      <c r="A28" s="217">
        <f t="shared" si="3"/>
        <v>42856</v>
      </c>
      <c r="B28" s="579"/>
      <c r="C28" s="579"/>
      <c r="D28" s="579"/>
      <c r="E28" s="579"/>
      <c r="F28" s="579"/>
      <c r="G28" s="579"/>
      <c r="H28" s="579"/>
      <c r="I28" s="579"/>
      <c r="J28" s="579"/>
      <c r="K28" s="579"/>
      <c r="L28" s="579"/>
      <c r="M28" s="579"/>
      <c r="N28" s="579"/>
      <c r="O28" s="579"/>
      <c r="P28" s="579"/>
      <c r="Q28" s="581"/>
      <c r="R28" s="56" t="b">
        <f t="shared" si="4"/>
        <v>1</v>
      </c>
    </row>
    <row r="29" spans="1:21" ht="16.5" thickBot="1" x14ac:dyDescent="0.25">
      <c r="A29" s="273">
        <f t="shared" si="3"/>
        <v>42887</v>
      </c>
      <c r="B29" s="603"/>
      <c r="C29" s="603"/>
      <c r="D29" s="603"/>
      <c r="E29" s="603"/>
      <c r="F29" s="603"/>
      <c r="G29" s="603"/>
      <c r="H29" s="603"/>
      <c r="I29" s="603"/>
      <c r="J29" s="603"/>
      <c r="K29" s="603"/>
      <c r="L29" s="603"/>
      <c r="M29" s="603"/>
      <c r="N29" s="603"/>
      <c r="O29" s="603"/>
      <c r="P29" s="603"/>
      <c r="Q29" s="604"/>
      <c r="R29" s="56" t="b">
        <f t="shared" si="4"/>
        <v>1</v>
      </c>
      <c r="T29" s="278" t="b">
        <f>ROUND(Q30,0)=ROUND(SUM(B30:P30),0)</f>
        <v>1</v>
      </c>
    </row>
    <row r="30" spans="1:21" ht="17.25" thickTop="1" thickBot="1" x14ac:dyDescent="0.3">
      <c r="A30" s="225" t="str">
        <f t="shared" si="3"/>
        <v>FY 2016-17 Year-to-Date Average</v>
      </c>
      <c r="B30" s="5">
        <f t="shared" ref="B30:H30" si="5">ROUND(+AVERAGE(B18:B29),0)</f>
        <v>6606</v>
      </c>
      <c r="C30" s="5">
        <f t="shared" si="5"/>
        <v>1881</v>
      </c>
      <c r="D30" s="5">
        <f t="shared" si="5"/>
        <v>8329</v>
      </c>
      <c r="E30" s="5">
        <f t="shared" si="5"/>
        <v>355</v>
      </c>
      <c r="F30" s="5">
        <f t="shared" si="5"/>
        <v>20367</v>
      </c>
      <c r="G30" s="5">
        <f t="shared" si="5"/>
        <v>11428</v>
      </c>
      <c r="H30" s="5">
        <f t="shared" si="5"/>
        <v>34363</v>
      </c>
      <c r="I30" s="5">
        <f t="shared" ref="I30:P30" si="6">ROUND(+AVERAGE(I18:I29),0)</f>
        <v>8</v>
      </c>
      <c r="J30" s="5">
        <f>ROUNDUP(+AVERAGE(J18:J29),0)</f>
        <v>43359</v>
      </c>
      <c r="K30" s="5">
        <f>ROUND(+AVERAGE(K18:K29),0)</f>
        <v>6111</v>
      </c>
      <c r="L30" s="5">
        <f t="shared" si="6"/>
        <v>609</v>
      </c>
      <c r="M30" s="5">
        <f>ROUND(+AVERAGE(M18:M29),0)</f>
        <v>1525</v>
      </c>
      <c r="N30" s="5">
        <f>ROUND(+AVERAGE(N18:N29),0)</f>
        <v>167</v>
      </c>
      <c r="O30" s="5">
        <f t="shared" si="6"/>
        <v>0</v>
      </c>
      <c r="P30" s="5">
        <f t="shared" si="6"/>
        <v>4</v>
      </c>
      <c r="Q30" s="226">
        <f>ROUND(SUM(B30:P30),0)</f>
        <v>135112</v>
      </c>
      <c r="R30" s="56" t="b">
        <f t="shared" si="4"/>
        <v>1</v>
      </c>
      <c r="S30" s="5" t="b">
        <f>Q30=ROUND(AVERAGE(Q18:Q29),0)</f>
        <v>1</v>
      </c>
    </row>
    <row r="31" spans="1:21" ht="16.5" thickBot="1" x14ac:dyDescent="0.25">
      <c r="A31" s="382" t="s">
        <v>193</v>
      </c>
      <c r="B31" s="383"/>
      <c r="C31" s="383"/>
      <c r="D31" s="383"/>
      <c r="E31" s="383"/>
      <c r="F31" s="383"/>
      <c r="G31" s="383"/>
      <c r="H31" s="383"/>
      <c r="I31" s="383"/>
      <c r="J31" s="383"/>
      <c r="K31" s="383"/>
      <c r="L31" s="383"/>
      <c r="M31" s="383"/>
      <c r="N31" s="383"/>
      <c r="O31" s="383"/>
      <c r="P31" s="383"/>
      <c r="Q31" s="384"/>
      <c r="R31" s="324"/>
    </row>
    <row r="32" spans="1:21" ht="15.75" x14ac:dyDescent="0.2">
      <c r="A32" s="223">
        <f>A4</f>
        <v>42552</v>
      </c>
      <c r="B32" s="212">
        <f>'[4]HMO + PACE'!B36</f>
        <v>1544</v>
      </c>
      <c r="C32" s="212">
        <f>'[4]HMO + PACE'!C36</f>
        <v>548</v>
      </c>
      <c r="D32" s="212">
        <f>'[4]HMO + PACE'!D36</f>
        <v>3051</v>
      </c>
      <c r="E32" s="212">
        <f>'[4]HMO + PACE'!E36</f>
        <v>283</v>
      </c>
      <c r="F32" s="212">
        <f>'[4]HMO + PACE'!F36</f>
        <v>7638</v>
      </c>
      <c r="G32" s="212">
        <f>'[4]HMO + PACE'!G36</f>
        <v>5166</v>
      </c>
      <c r="H32" s="212">
        <f>'[4]HMO + PACE'!H36</f>
        <v>15217</v>
      </c>
      <c r="I32" s="212">
        <f>'[4]HMO + PACE'!I36</f>
        <v>6</v>
      </c>
      <c r="J32" s="212">
        <f>'[4]HMO + PACE'!J36</f>
        <v>4</v>
      </c>
      <c r="K32" s="212">
        <f>'[4]HMO + PACE'!K36</f>
        <v>0</v>
      </c>
      <c r="L32" s="212">
        <f>'[4]HMO + PACE'!L36</f>
        <v>0</v>
      </c>
      <c r="M32" s="212">
        <f>'[4]HMO + PACE'!M36</f>
        <v>700</v>
      </c>
      <c r="N32" s="212">
        <f>'[4]HMO + PACE'!N36</f>
        <v>81</v>
      </c>
      <c r="O32" s="212">
        <f>'[4]HMO + PACE'!O36</f>
        <v>0</v>
      </c>
      <c r="P32" s="212">
        <f>'[4]HMO + PACE'!P36</f>
        <v>2</v>
      </c>
      <c r="Q32" s="224">
        <f>'[4]HMO + PACE'!Q36</f>
        <v>34240</v>
      </c>
      <c r="R32" s="56" t="b">
        <f>SUM(B32:P32)=Q32</f>
        <v>1</v>
      </c>
      <c r="U32" s="278">
        <f t="shared" ref="U32:U38" si="7">SUM(B32,B60,B74)</f>
        <v>6571</v>
      </c>
    </row>
    <row r="33" spans="1:23" ht="15.75" x14ac:dyDescent="0.2">
      <c r="A33" s="217">
        <f t="shared" ref="A33:A44" si="8">A5</f>
        <v>42583</v>
      </c>
      <c r="B33" s="3">
        <f>'[4]HMO + PACE'!B37</f>
        <v>1529</v>
      </c>
      <c r="C33" s="3">
        <f>'[4]HMO + PACE'!C37</f>
        <v>545</v>
      </c>
      <c r="D33" s="3">
        <f>'[4]HMO + PACE'!D37</f>
        <v>3013</v>
      </c>
      <c r="E33" s="3">
        <f>'[4]HMO + PACE'!E37</f>
        <v>275</v>
      </c>
      <c r="F33" s="3">
        <f>'[4]HMO + PACE'!F37</f>
        <v>7312</v>
      </c>
      <c r="G33" s="3">
        <f>'[4]HMO + PACE'!G37</f>
        <v>5047</v>
      </c>
      <c r="H33" s="3">
        <f>'[4]HMO + PACE'!H37</f>
        <v>14766</v>
      </c>
      <c r="I33" s="3">
        <f>'[4]HMO + PACE'!I37</f>
        <v>6</v>
      </c>
      <c r="J33" s="3">
        <f>'[4]HMO + PACE'!J37</f>
        <v>5</v>
      </c>
      <c r="K33" s="3">
        <f>'[4]HMO + PACE'!K37</f>
        <v>1</v>
      </c>
      <c r="L33" s="3">
        <f>'[4]HMO + PACE'!L37</f>
        <v>1</v>
      </c>
      <c r="M33" s="3">
        <f>'[4]HMO + PACE'!M37</f>
        <v>652</v>
      </c>
      <c r="N33" s="3">
        <f>'[4]HMO + PACE'!N37</f>
        <v>71</v>
      </c>
      <c r="O33" s="3">
        <f>'[4]HMO + PACE'!O37</f>
        <v>0</v>
      </c>
      <c r="P33" s="3">
        <f>'[4]HMO + PACE'!P37</f>
        <v>3</v>
      </c>
      <c r="Q33" s="218">
        <f>'[4]HMO + PACE'!Q37</f>
        <v>33226</v>
      </c>
      <c r="R33" s="56" t="b">
        <f t="shared" ref="R33:R44" si="9">SUM(B33:P33)=Q33</f>
        <v>1</v>
      </c>
      <c r="U33" s="278">
        <f t="shared" si="7"/>
        <v>5140</v>
      </c>
    </row>
    <row r="34" spans="1:23" ht="15.75" x14ac:dyDescent="0.2">
      <c r="A34" s="217">
        <f t="shared" si="8"/>
        <v>42614</v>
      </c>
      <c r="B34" s="3">
        <f>'[4]HMO + PACE'!B38</f>
        <v>1562</v>
      </c>
      <c r="C34" s="3">
        <f>'[4]HMO + PACE'!C38</f>
        <v>549</v>
      </c>
      <c r="D34" s="3">
        <f>'[4]HMO + PACE'!D38</f>
        <v>3009</v>
      </c>
      <c r="E34" s="3">
        <f>'[4]HMO + PACE'!E38</f>
        <v>285</v>
      </c>
      <c r="F34" s="3">
        <f>'[4]HMO + PACE'!F38</f>
        <v>7283</v>
      </c>
      <c r="G34" s="3">
        <f>'[4]HMO + PACE'!G38</f>
        <v>5046</v>
      </c>
      <c r="H34" s="3">
        <f>'[4]HMO + PACE'!H38</f>
        <v>14833</v>
      </c>
      <c r="I34" s="3">
        <f>'[4]HMO + PACE'!I38</f>
        <v>6</v>
      </c>
      <c r="J34" s="3">
        <f>'[4]HMO + PACE'!J38</f>
        <v>3</v>
      </c>
      <c r="K34" s="3">
        <f>'[4]HMO + PACE'!K38</f>
        <v>1</v>
      </c>
      <c r="L34" s="3">
        <f>'[4]HMO + PACE'!L38</f>
        <v>0</v>
      </c>
      <c r="M34" s="3">
        <f>'[4]HMO + PACE'!M38</f>
        <v>615</v>
      </c>
      <c r="N34" s="3">
        <f>'[4]HMO + PACE'!N38</f>
        <v>71</v>
      </c>
      <c r="O34" s="3">
        <f>'[4]HMO + PACE'!O38</f>
        <v>0</v>
      </c>
      <c r="P34" s="3">
        <f>'[4]HMO + PACE'!P38</f>
        <v>2</v>
      </c>
      <c r="Q34" s="218">
        <f>'[4]HMO + PACE'!Q38</f>
        <v>33265</v>
      </c>
      <c r="R34" s="56" t="b">
        <f t="shared" si="9"/>
        <v>1</v>
      </c>
      <c r="S34" s="278">
        <f>Q34+Q62+Q76</f>
        <v>110209</v>
      </c>
      <c r="U34" s="278">
        <f t="shared" si="7"/>
        <v>5385</v>
      </c>
    </row>
    <row r="35" spans="1:23" ht="15.75" x14ac:dyDescent="0.2">
      <c r="A35" s="217">
        <f t="shared" si="8"/>
        <v>42644</v>
      </c>
      <c r="B35" s="3">
        <f>'[4]HMO + PACE'!B39</f>
        <v>1573</v>
      </c>
      <c r="C35" s="3">
        <f>'[4]HMO + PACE'!C39</f>
        <v>550</v>
      </c>
      <c r="D35" s="3">
        <f>'[4]HMO + PACE'!D39</f>
        <v>3030</v>
      </c>
      <c r="E35" s="3">
        <f>'[4]HMO + PACE'!E39</f>
        <v>301</v>
      </c>
      <c r="F35" s="3">
        <f>'[4]HMO + PACE'!F39</f>
        <v>7374</v>
      </c>
      <c r="G35" s="3">
        <f>'[4]HMO + PACE'!G39</f>
        <v>4854</v>
      </c>
      <c r="H35" s="3">
        <f>'[4]HMO + PACE'!H39</f>
        <v>14775</v>
      </c>
      <c r="I35" s="3">
        <f>'[4]HMO + PACE'!I39</f>
        <v>6</v>
      </c>
      <c r="J35" s="3">
        <f>'[4]HMO + PACE'!J39</f>
        <v>3</v>
      </c>
      <c r="K35" s="3">
        <f>'[4]HMO + PACE'!K39</f>
        <v>0</v>
      </c>
      <c r="L35" s="3">
        <f>'[4]HMO + PACE'!L39</f>
        <v>0</v>
      </c>
      <c r="M35" s="3">
        <f>'[4]HMO + PACE'!M39</f>
        <v>594</v>
      </c>
      <c r="N35" s="3">
        <f>'[4]HMO + PACE'!N39</f>
        <v>63</v>
      </c>
      <c r="O35" s="3">
        <f>'[4]HMO + PACE'!O39</f>
        <v>0</v>
      </c>
      <c r="P35" s="3">
        <f>'[4]HMO + PACE'!P39</f>
        <v>2</v>
      </c>
      <c r="Q35" s="218">
        <f>'[4]HMO + PACE'!Q39</f>
        <v>33125</v>
      </c>
      <c r="R35" s="56" t="b">
        <f t="shared" si="9"/>
        <v>1</v>
      </c>
      <c r="U35" s="278">
        <f t="shared" si="7"/>
        <v>6487</v>
      </c>
    </row>
    <row r="36" spans="1:23" ht="15.75" x14ac:dyDescent="0.2">
      <c r="A36" s="217">
        <f t="shared" si="8"/>
        <v>42675</v>
      </c>
      <c r="B36" s="3">
        <f>'[4]HMO + PACE'!B40</f>
        <v>1598</v>
      </c>
      <c r="C36" s="3">
        <f>'[4]HMO + PACE'!C40</f>
        <v>560</v>
      </c>
      <c r="D36" s="3">
        <f>'[4]HMO + PACE'!D40</f>
        <v>3036</v>
      </c>
      <c r="E36" s="3">
        <f>'[4]HMO + PACE'!E40</f>
        <v>317</v>
      </c>
      <c r="F36" s="3">
        <f>'[4]HMO + PACE'!F40</f>
        <v>7431</v>
      </c>
      <c r="G36" s="3">
        <f>'[4]HMO + PACE'!G40</f>
        <v>4854</v>
      </c>
      <c r="H36" s="3">
        <f>'[4]HMO + PACE'!H40</f>
        <v>15140</v>
      </c>
      <c r="I36" s="3">
        <f>'[4]HMO + PACE'!I40</f>
        <v>6</v>
      </c>
      <c r="J36" s="3">
        <f>'[4]HMO + PACE'!J40</f>
        <v>3</v>
      </c>
      <c r="K36" s="3">
        <f>'[4]HMO + PACE'!K40</f>
        <v>1</v>
      </c>
      <c r="L36" s="3">
        <f>'[4]HMO + PACE'!L40</f>
        <v>0</v>
      </c>
      <c r="M36" s="3">
        <f>'[4]HMO + PACE'!M40</f>
        <v>578</v>
      </c>
      <c r="N36" s="3">
        <f>'[4]HMO + PACE'!N40</f>
        <v>68</v>
      </c>
      <c r="O36" s="3">
        <f>'[4]HMO + PACE'!O40</f>
        <v>0</v>
      </c>
      <c r="P36" s="3">
        <f>'[4]HMO + PACE'!P40</f>
        <v>4</v>
      </c>
      <c r="Q36" s="218">
        <f>'[4]HMO + PACE'!Q40</f>
        <v>33596</v>
      </c>
      <c r="R36" s="56" t="b">
        <f t="shared" si="9"/>
        <v>1</v>
      </c>
      <c r="U36" s="278">
        <f t="shared" si="7"/>
        <v>6753</v>
      </c>
    </row>
    <row r="37" spans="1:23" ht="15.75" x14ac:dyDescent="0.2">
      <c r="A37" s="217">
        <f t="shared" si="8"/>
        <v>42705</v>
      </c>
      <c r="B37" s="3">
        <f>'[4]HMO + PACE'!B41</f>
        <v>1573</v>
      </c>
      <c r="C37" s="3">
        <f>'[4]HMO + PACE'!C41</f>
        <v>560</v>
      </c>
      <c r="D37" s="3">
        <f>'[4]HMO + PACE'!D41</f>
        <v>2964</v>
      </c>
      <c r="E37" s="3">
        <f>'[4]HMO + PACE'!E41</f>
        <v>323</v>
      </c>
      <c r="F37" s="3">
        <f>'[4]HMO + PACE'!F41</f>
        <v>7498</v>
      </c>
      <c r="G37" s="3">
        <f>'[4]HMO + PACE'!G41</f>
        <v>4923</v>
      </c>
      <c r="H37" s="3">
        <f>'[4]HMO + PACE'!H41</f>
        <v>15116</v>
      </c>
      <c r="I37" s="3">
        <f>'[4]HMO + PACE'!I41</f>
        <v>6</v>
      </c>
      <c r="J37" s="3">
        <f>'[4]HMO + PACE'!J41</f>
        <v>13</v>
      </c>
      <c r="K37" s="3">
        <f>'[4]HMO + PACE'!K41</f>
        <v>0</v>
      </c>
      <c r="L37" s="3">
        <f>'[4]HMO + PACE'!L41</f>
        <v>0</v>
      </c>
      <c r="M37" s="3">
        <f>'[4]HMO + PACE'!M41</f>
        <v>563</v>
      </c>
      <c r="N37" s="3">
        <f>'[4]HMO + PACE'!N41</f>
        <v>66</v>
      </c>
      <c r="O37" s="3">
        <f>'[4]HMO + PACE'!O41</f>
        <v>0</v>
      </c>
      <c r="P37" s="3">
        <f>'[4]HMO + PACE'!P41</f>
        <v>3</v>
      </c>
      <c r="Q37" s="218">
        <f>'[4]HMO + PACE'!Q41</f>
        <v>33608</v>
      </c>
      <c r="R37" s="56" t="b">
        <f t="shared" si="9"/>
        <v>1</v>
      </c>
      <c r="U37" s="278">
        <f t="shared" si="7"/>
        <v>6686</v>
      </c>
    </row>
    <row r="38" spans="1:23" ht="15.75" x14ac:dyDescent="0.2">
      <c r="A38" s="217">
        <f t="shared" si="8"/>
        <v>42736</v>
      </c>
      <c r="B38" s="3">
        <f>'[4]HMO + PACE'!B42</f>
        <v>1679</v>
      </c>
      <c r="C38" s="3">
        <f>'[4]HMO + PACE'!C42</f>
        <v>590</v>
      </c>
      <c r="D38" s="3">
        <f>'[4]HMO + PACE'!D42</f>
        <v>3268</v>
      </c>
      <c r="E38" s="3">
        <f>'[4]HMO + PACE'!E42</f>
        <v>323</v>
      </c>
      <c r="F38" s="3">
        <f>'[4]HMO + PACE'!F42</f>
        <v>7902</v>
      </c>
      <c r="G38" s="3">
        <f>'[4]HMO + PACE'!G42</f>
        <v>4739</v>
      </c>
      <c r="H38" s="3">
        <f>'[4]HMO + PACE'!H42</f>
        <v>16220</v>
      </c>
      <c r="I38" s="3">
        <f>'[4]HMO + PACE'!I42</f>
        <v>6</v>
      </c>
      <c r="J38" s="3">
        <f>'[4]HMO + PACE'!J42</f>
        <v>4</v>
      </c>
      <c r="K38" s="3">
        <f>'[4]HMO + PACE'!K42</f>
        <v>0</v>
      </c>
      <c r="L38" s="3">
        <f>'[4]HMO + PACE'!L42</f>
        <v>2</v>
      </c>
      <c r="M38" s="3">
        <f>'[4]HMO + PACE'!M42</f>
        <v>622</v>
      </c>
      <c r="N38" s="3">
        <f>'[4]HMO + PACE'!N42</f>
        <v>73</v>
      </c>
      <c r="O38" s="3">
        <f>'[4]HMO + PACE'!O42</f>
        <v>0</v>
      </c>
      <c r="P38" s="3">
        <f>'[4]HMO + PACE'!P42</f>
        <v>0</v>
      </c>
      <c r="Q38" s="218">
        <f>'[4]HMO + PACE'!Q42</f>
        <v>35428</v>
      </c>
      <c r="R38" s="56" t="b">
        <f t="shared" si="9"/>
        <v>1</v>
      </c>
      <c r="T38">
        <f>208550/3</f>
        <v>69516.666666666672</v>
      </c>
      <c r="U38" s="278">
        <f t="shared" si="7"/>
        <v>7003</v>
      </c>
    </row>
    <row r="39" spans="1:23" ht="15.75" x14ac:dyDescent="0.2">
      <c r="A39" s="217">
        <f t="shared" si="8"/>
        <v>42767</v>
      </c>
      <c r="B39" s="3">
        <f>'[4]HMO + PACE'!B43</f>
        <v>1673</v>
      </c>
      <c r="C39" s="3">
        <f>'[4]HMO + PACE'!C43</f>
        <v>582</v>
      </c>
      <c r="D39" s="3">
        <f>'[4]HMO + PACE'!D43</f>
        <v>3227</v>
      </c>
      <c r="E39" s="3">
        <f>'[4]HMO + PACE'!E43</f>
        <v>326</v>
      </c>
      <c r="F39" s="3">
        <f>'[4]HMO + PACE'!F43</f>
        <v>7981</v>
      </c>
      <c r="G39" s="3">
        <f>'[4]HMO + PACE'!G43</f>
        <v>4624</v>
      </c>
      <c r="H39" s="3">
        <f>'[4]HMO + PACE'!H43</f>
        <v>16295</v>
      </c>
      <c r="I39" s="3">
        <f>'[4]HMO + PACE'!I43</f>
        <v>6</v>
      </c>
      <c r="J39" s="3">
        <f>'[4]HMO + PACE'!J43</f>
        <v>5</v>
      </c>
      <c r="K39" s="3">
        <f>'[4]HMO + PACE'!K43</f>
        <v>0</v>
      </c>
      <c r="L39" s="3">
        <f>'[4]HMO + PACE'!L43</f>
        <v>0</v>
      </c>
      <c r="M39" s="3">
        <f>'[4]HMO + PACE'!M43</f>
        <v>618</v>
      </c>
      <c r="N39" s="3">
        <f>'[4]HMO + PACE'!N43</f>
        <v>67</v>
      </c>
      <c r="O39" s="3">
        <f>'[4]HMO + PACE'!O43</f>
        <v>0</v>
      </c>
      <c r="P39" s="3">
        <f>'[4]HMO + PACE'!P43</f>
        <v>2</v>
      </c>
      <c r="Q39" s="218">
        <f>'[4]HMO + PACE'!Q43</f>
        <v>35406</v>
      </c>
      <c r="R39" s="56" t="b">
        <f t="shared" si="9"/>
        <v>1</v>
      </c>
      <c r="U39" s="278">
        <f>AVERAGE(U32:U38)</f>
        <v>6289.2857142857147</v>
      </c>
    </row>
    <row r="40" spans="1:23" ht="15.75" x14ac:dyDescent="0.2">
      <c r="A40" s="217">
        <f t="shared" si="8"/>
        <v>42795</v>
      </c>
      <c r="B40" s="579">
        <f>'[4]HMO + PACE'!B44</f>
        <v>1655</v>
      </c>
      <c r="C40" s="579">
        <f>'[4]HMO + PACE'!C44</f>
        <v>586</v>
      </c>
      <c r="D40" s="579">
        <f>'[4]HMO + PACE'!D44</f>
        <v>3185</v>
      </c>
      <c r="E40" s="579">
        <f>'[4]HMO + PACE'!E44</f>
        <v>341</v>
      </c>
      <c r="F40" s="579">
        <f>'[4]HMO + PACE'!F44</f>
        <v>8128</v>
      </c>
      <c r="G40" s="579">
        <f>'[4]HMO + PACE'!G44+'[4]HMO + PACE'!H44</f>
        <v>21302</v>
      </c>
      <c r="H40" s="579"/>
      <c r="I40" s="579">
        <f>'[4]HMO + PACE'!I44</f>
        <v>7</v>
      </c>
      <c r="J40" s="579">
        <f>'[4]HMO + PACE'!J44</f>
        <v>14</v>
      </c>
      <c r="K40" s="579">
        <f>'[4]HMO + PACE'!K44</f>
        <v>4</v>
      </c>
      <c r="L40" s="579">
        <f>'[4]HMO + PACE'!L44</f>
        <v>0</v>
      </c>
      <c r="M40" s="579">
        <f>'[4]HMO + PACE'!M44</f>
        <v>598</v>
      </c>
      <c r="N40" s="579">
        <f>'[4]HMO + PACE'!N44</f>
        <v>115</v>
      </c>
      <c r="O40" s="579">
        <f>'[4]HMO + PACE'!O44</f>
        <v>0</v>
      </c>
      <c r="P40" s="579">
        <f>'[4]HMO + PACE'!P44</f>
        <v>0</v>
      </c>
      <c r="Q40" s="581">
        <f>'[4]HMO + PACE'!Q44</f>
        <v>35935</v>
      </c>
      <c r="R40" s="56" t="b">
        <f t="shared" si="9"/>
        <v>1</v>
      </c>
      <c r="U40" s="278">
        <f>SUM(B44,B72,B86)</f>
        <v>6523</v>
      </c>
    </row>
    <row r="41" spans="1:23" ht="15.75" x14ac:dyDescent="0.2">
      <c r="A41" s="217">
        <f t="shared" si="8"/>
        <v>42826</v>
      </c>
      <c r="B41" s="579">
        <f>'[4]HMO + PACE'!B45</f>
        <v>1604</v>
      </c>
      <c r="C41" s="579">
        <f>'[4]HMO + PACE'!C45</f>
        <v>593</v>
      </c>
      <c r="D41" s="579">
        <f>'[4]HMO + PACE'!D45</f>
        <v>3171</v>
      </c>
      <c r="E41" s="579">
        <f>'[4]HMO + PACE'!E45</f>
        <v>329</v>
      </c>
      <c r="F41" s="579">
        <f>'[4]HMO + PACE'!F45</f>
        <v>8638</v>
      </c>
      <c r="G41" s="579">
        <f>'[4]HMO + PACE'!G45+'[4]HMO + PACE'!H45</f>
        <v>20961</v>
      </c>
      <c r="H41" s="579"/>
      <c r="I41" s="579">
        <f>'[4]HMO + PACE'!I45</f>
        <v>6</v>
      </c>
      <c r="J41" s="579">
        <f>'[4]HMO + PACE'!J45</f>
        <v>20</v>
      </c>
      <c r="K41" s="579">
        <f>'[4]HMO + PACE'!K45</f>
        <v>4</v>
      </c>
      <c r="L41" s="579">
        <f>'[4]HMO + PACE'!L45</f>
        <v>0</v>
      </c>
      <c r="M41" s="579">
        <f>'[4]HMO + PACE'!M45</f>
        <v>587</v>
      </c>
      <c r="N41" s="579">
        <f>'[4]HMO + PACE'!N45</f>
        <v>113</v>
      </c>
      <c r="O41" s="579">
        <f>'[4]HMO + PACE'!O45</f>
        <v>0</v>
      </c>
      <c r="P41" s="579">
        <f>'[4]HMO + PACE'!P45</f>
        <v>0</v>
      </c>
      <c r="Q41" s="581">
        <f>'[4]HMO + PACE'!Q45</f>
        <v>36026</v>
      </c>
      <c r="R41" s="56" t="b">
        <f t="shared" si="9"/>
        <v>1</v>
      </c>
    </row>
    <row r="42" spans="1:23" ht="15.75" x14ac:dyDescent="0.2">
      <c r="A42" s="217">
        <f t="shared" si="8"/>
        <v>42856</v>
      </c>
      <c r="B42" s="579">
        <f>'[4]HMO + PACE'!B46</f>
        <v>1612</v>
      </c>
      <c r="C42" s="579">
        <f>'[4]HMO + PACE'!C46</f>
        <v>595</v>
      </c>
      <c r="D42" s="579">
        <f>'[4]HMO + PACE'!D46</f>
        <v>3165</v>
      </c>
      <c r="E42" s="579">
        <f>'[4]HMO + PACE'!E46</f>
        <v>349</v>
      </c>
      <c r="F42" s="579">
        <f>'[4]HMO + PACE'!F46</f>
        <v>9028</v>
      </c>
      <c r="G42" s="579">
        <f>'[4]HMO + PACE'!G46+'[4]HMO + PACE'!H46</f>
        <v>21695</v>
      </c>
      <c r="H42" s="579"/>
      <c r="I42" s="579">
        <f>'[4]HMO + PACE'!I46</f>
        <v>6</v>
      </c>
      <c r="J42" s="579">
        <f>'[4]HMO + PACE'!J46</f>
        <v>41</v>
      </c>
      <c r="K42" s="579">
        <f>'[4]HMO + PACE'!K46</f>
        <v>7</v>
      </c>
      <c r="L42" s="579">
        <f>'[4]HMO + PACE'!L46</f>
        <v>2</v>
      </c>
      <c r="M42" s="579">
        <f>'[4]HMO + PACE'!M46</f>
        <v>570</v>
      </c>
      <c r="N42" s="579">
        <f>'[4]HMO + PACE'!N46</f>
        <v>124</v>
      </c>
      <c r="O42" s="579">
        <f>'[4]HMO + PACE'!O46</f>
        <v>0</v>
      </c>
      <c r="P42" s="579">
        <f>'[4]HMO + PACE'!P46</f>
        <v>0</v>
      </c>
      <c r="Q42" s="581">
        <f>'[4]HMO + PACE'!Q46</f>
        <v>37194</v>
      </c>
      <c r="R42" s="56" t="b">
        <f t="shared" si="9"/>
        <v>1</v>
      </c>
    </row>
    <row r="43" spans="1:23" ht="16.5" thickBot="1" x14ac:dyDescent="0.25">
      <c r="A43" s="273">
        <f t="shared" si="8"/>
        <v>42887</v>
      </c>
      <c r="B43" s="603">
        <f>'[4]HMO + PACE'!B47</f>
        <v>1554</v>
      </c>
      <c r="C43" s="603">
        <f>'[4]HMO + PACE'!C47</f>
        <v>593</v>
      </c>
      <c r="D43" s="603">
        <f>'[4]HMO + PACE'!D47</f>
        <v>3191</v>
      </c>
      <c r="E43" s="603">
        <f>'[4]HMO + PACE'!E47</f>
        <v>390</v>
      </c>
      <c r="F43" s="603">
        <f>'[4]HMO + PACE'!F47</f>
        <v>9146</v>
      </c>
      <c r="G43" s="603">
        <f>'[4]HMO + PACE'!G47+'[4]HMO + PACE'!H47</f>
        <v>22058</v>
      </c>
      <c r="H43" s="603"/>
      <c r="I43" s="603">
        <f>'[4]HMO + PACE'!I47</f>
        <v>6</v>
      </c>
      <c r="J43" s="603">
        <f>'[4]HMO + PACE'!J47</f>
        <v>33</v>
      </c>
      <c r="K43" s="603">
        <f>'[4]HMO + PACE'!K47</f>
        <v>8</v>
      </c>
      <c r="L43" s="603">
        <f>'[4]HMO + PACE'!L47</f>
        <v>0</v>
      </c>
      <c r="M43" s="603">
        <f>'[4]HMO + PACE'!M47</f>
        <v>562</v>
      </c>
      <c r="N43" s="603">
        <f>'[4]HMO + PACE'!N47</f>
        <v>129</v>
      </c>
      <c r="O43" s="603">
        <f>'[4]HMO + PACE'!O47</f>
        <v>0</v>
      </c>
      <c r="P43" s="603">
        <f>'[4]HMO + PACE'!P47</f>
        <v>0</v>
      </c>
      <c r="Q43" s="604">
        <f>'[4]HMO + PACE'!Q47</f>
        <v>37670</v>
      </c>
      <c r="R43" s="56" t="b">
        <f t="shared" si="9"/>
        <v>1</v>
      </c>
      <c r="W43" s="278"/>
    </row>
    <row r="44" spans="1:23" ht="17.25" thickTop="1" thickBot="1" x14ac:dyDescent="0.3">
      <c r="A44" s="225" t="str">
        <f t="shared" si="8"/>
        <v>FY 2016-17 Year-to-Date Average</v>
      </c>
      <c r="B44" s="5">
        <f>ROUND(+AVERAGE(B32:B43),0)</f>
        <v>1596</v>
      </c>
      <c r="C44" s="5">
        <f>ROUND(+AVERAGE(C32:C43),0)</f>
        <v>571</v>
      </c>
      <c r="D44" s="5">
        <f>ROUND(+AVERAGE(D32:D43),0)</f>
        <v>3109</v>
      </c>
      <c r="E44" s="5">
        <f t="shared" ref="E44:P44" si="10">ROUND(+AVERAGE(E32:E43),0)</f>
        <v>320</v>
      </c>
      <c r="F44" s="5">
        <f>ROUND(+AVERAGE(F32:F43),0)</f>
        <v>7947</v>
      </c>
      <c r="G44" s="5">
        <f>ROUND(+AVERAGE(G32:G43),0)</f>
        <v>10439</v>
      </c>
      <c r="H44" s="5">
        <f>ROUND(+AVERAGE(H32:H43),0)</f>
        <v>15295</v>
      </c>
      <c r="I44" s="5">
        <f t="shared" si="10"/>
        <v>6</v>
      </c>
      <c r="J44" s="5">
        <f>ROUND(+AVERAGE(J32:J43),0)</f>
        <v>12</v>
      </c>
      <c r="K44" s="5">
        <f t="shared" si="10"/>
        <v>2</v>
      </c>
      <c r="L44" s="5">
        <f t="shared" si="10"/>
        <v>0</v>
      </c>
      <c r="M44" s="5">
        <f t="shared" si="10"/>
        <v>605</v>
      </c>
      <c r="N44" s="5">
        <f t="shared" si="10"/>
        <v>87</v>
      </c>
      <c r="O44" s="5">
        <f t="shared" si="10"/>
        <v>0</v>
      </c>
      <c r="P44" s="5">
        <f t="shared" si="10"/>
        <v>2</v>
      </c>
      <c r="Q44" s="226">
        <f>ROUND(SUM(B44:P44),0)</f>
        <v>39991</v>
      </c>
      <c r="R44" s="56" t="b">
        <f t="shared" si="9"/>
        <v>1</v>
      </c>
      <c r="S44" s="5" t="b">
        <f>Q44=ROUND(AVERAGE(Q32:Q43),0)</f>
        <v>0</v>
      </c>
      <c r="T44" s="278" t="b">
        <f>ROUND(Q44,0)=ROUND(SUM(B44:P44),0)</f>
        <v>1</v>
      </c>
    </row>
    <row r="45" spans="1:23" ht="16.5" thickBot="1" x14ac:dyDescent="0.25">
      <c r="A45" s="382" t="s">
        <v>324</v>
      </c>
      <c r="B45" s="383"/>
      <c r="C45" s="383"/>
      <c r="D45" s="383"/>
      <c r="E45" s="383"/>
      <c r="F45" s="383"/>
      <c r="G45" s="383"/>
      <c r="H45" s="383"/>
      <c r="I45" s="383"/>
      <c r="J45" s="383"/>
      <c r="K45" s="383"/>
      <c r="L45" s="383"/>
      <c r="M45" s="383"/>
      <c r="N45" s="383"/>
      <c r="O45" s="383"/>
      <c r="P45" s="383"/>
      <c r="Q45" s="384"/>
      <c r="R45" s="56"/>
      <c r="S45" s="5"/>
      <c r="T45" s="278"/>
    </row>
    <row r="46" spans="1:23" ht="15.75" x14ac:dyDescent="0.2">
      <c r="A46" s="223">
        <f>A4</f>
        <v>42552</v>
      </c>
      <c r="B46" s="212">
        <f>'[4]HMO + PACE'!B130</f>
        <v>35</v>
      </c>
      <c r="C46" s="212">
        <f>'[4]HMO + PACE'!C130</f>
        <v>71</v>
      </c>
      <c r="D46" s="212">
        <f>'[4]HMO + PACE'!D130</f>
        <v>824</v>
      </c>
      <c r="E46" s="212">
        <f>'[4]HMO + PACE'!E130</f>
        <v>25</v>
      </c>
      <c r="F46" s="212">
        <f>'[4]HMO + PACE'!F130</f>
        <v>3458</v>
      </c>
      <c r="G46" s="212">
        <f>'[4]HMO + PACE'!G130</f>
        <v>2077</v>
      </c>
      <c r="H46" s="212">
        <f>'[4]HMO + PACE'!H130</f>
        <v>5351</v>
      </c>
      <c r="I46" s="212">
        <f>'[4]HMO + PACE'!I130</f>
        <v>0</v>
      </c>
      <c r="J46" s="212">
        <f>'[4]HMO + PACE'!J130</f>
        <v>9005</v>
      </c>
      <c r="K46" s="212">
        <f>'[4]HMO + PACE'!K130</f>
        <v>1615</v>
      </c>
      <c r="L46" s="212">
        <f>'[4]HMO + PACE'!L130</f>
        <v>333</v>
      </c>
      <c r="M46" s="212">
        <f>'[4]HMO + PACE'!M130</f>
        <v>179</v>
      </c>
      <c r="N46" s="212">
        <f>'[4]HMO + PACE'!N130</f>
        <v>19</v>
      </c>
      <c r="O46" s="212">
        <f>'[4]HMO + PACE'!O130</f>
        <v>0</v>
      </c>
      <c r="P46" s="212">
        <f>'[4]HMO + PACE'!P130</f>
        <v>0</v>
      </c>
      <c r="Q46" s="224">
        <f>'[4]HMO + PACE'!Q130</f>
        <v>22992</v>
      </c>
      <c r="R46" s="56" t="b">
        <f>SUM(B46:P46)=Q46</f>
        <v>1</v>
      </c>
      <c r="S46" s="5"/>
      <c r="T46" s="278"/>
    </row>
    <row r="47" spans="1:23" ht="15.75" x14ac:dyDescent="0.2">
      <c r="A47" s="217">
        <f t="shared" ref="A47:A58" si="11">A5</f>
        <v>42583</v>
      </c>
      <c r="B47" s="3">
        <f>'[4]HMO + PACE'!B131</f>
        <v>33</v>
      </c>
      <c r="C47" s="3">
        <f>'[4]HMO + PACE'!C131</f>
        <v>70</v>
      </c>
      <c r="D47" s="3">
        <f>'[4]HMO + PACE'!D131</f>
        <v>810</v>
      </c>
      <c r="E47" s="3">
        <f>'[4]HMO + PACE'!E131</f>
        <v>24</v>
      </c>
      <c r="F47" s="3">
        <f>'[4]HMO + PACE'!F131</f>
        <v>3436</v>
      </c>
      <c r="G47" s="3">
        <f>'[4]HMO + PACE'!G131</f>
        <v>2038</v>
      </c>
      <c r="H47" s="3">
        <f>'[4]HMO + PACE'!H131</f>
        <v>5307</v>
      </c>
      <c r="I47" s="3">
        <f>'[4]HMO + PACE'!I131</f>
        <v>0</v>
      </c>
      <c r="J47" s="3">
        <f>'[4]HMO + PACE'!J131</f>
        <v>8925</v>
      </c>
      <c r="K47" s="3">
        <f>'[4]HMO + PACE'!K131</f>
        <v>1649</v>
      </c>
      <c r="L47" s="3">
        <f>'[4]HMO + PACE'!L131</f>
        <v>328</v>
      </c>
      <c r="M47" s="3">
        <f>'[4]HMO + PACE'!M131</f>
        <v>173</v>
      </c>
      <c r="N47" s="3">
        <f>'[4]HMO + PACE'!N131</f>
        <v>19</v>
      </c>
      <c r="O47" s="3">
        <f>'[4]HMO + PACE'!O131</f>
        <v>0</v>
      </c>
      <c r="P47" s="3">
        <f>'[4]HMO + PACE'!P131</f>
        <v>0</v>
      </c>
      <c r="Q47" s="218">
        <f>'[4]HMO + PACE'!Q131</f>
        <v>22812</v>
      </c>
      <c r="R47" s="56" t="b">
        <f t="shared" ref="R47:R58" si="12">SUM(B47:P47)=Q47</f>
        <v>1</v>
      </c>
      <c r="S47" s="5"/>
      <c r="T47" s="278"/>
    </row>
    <row r="48" spans="1:23" ht="15.75" x14ac:dyDescent="0.2">
      <c r="A48" s="217">
        <f t="shared" si="11"/>
        <v>42614</v>
      </c>
      <c r="B48" s="3">
        <f>'[4]HMO + PACE'!B132</f>
        <v>36</v>
      </c>
      <c r="C48" s="3">
        <f>'[4]HMO + PACE'!C132</f>
        <v>75</v>
      </c>
      <c r="D48" s="3">
        <f>'[4]HMO + PACE'!D132</f>
        <v>796</v>
      </c>
      <c r="E48" s="3">
        <f>'[4]HMO + PACE'!E132</f>
        <v>28</v>
      </c>
      <c r="F48" s="3">
        <f>'[4]HMO + PACE'!F132</f>
        <v>3434</v>
      </c>
      <c r="G48" s="3">
        <f>'[4]HMO + PACE'!G132</f>
        <v>2051</v>
      </c>
      <c r="H48" s="3">
        <f>'[4]HMO + PACE'!H132</f>
        <v>5350</v>
      </c>
      <c r="I48" s="3">
        <f>'[4]HMO + PACE'!I132</f>
        <v>0</v>
      </c>
      <c r="J48" s="3">
        <f>'[4]HMO + PACE'!J132</f>
        <v>8965</v>
      </c>
      <c r="K48" s="3">
        <f>'[4]HMO + PACE'!K132</f>
        <v>1632</v>
      </c>
      <c r="L48" s="3">
        <f>'[4]HMO + PACE'!L132</f>
        <v>319</v>
      </c>
      <c r="M48" s="3">
        <f>'[4]HMO + PACE'!M132</f>
        <v>163</v>
      </c>
      <c r="N48" s="3">
        <f>'[4]HMO + PACE'!N132</f>
        <v>20</v>
      </c>
      <c r="O48" s="3">
        <f>'[4]HMO + PACE'!O132</f>
        <v>0</v>
      </c>
      <c r="P48" s="3">
        <f>'[4]HMO + PACE'!P132</f>
        <v>2</v>
      </c>
      <c r="Q48" s="218">
        <f>'[4]HMO + PACE'!Q132</f>
        <v>22871</v>
      </c>
      <c r="R48" s="56" t="b">
        <f t="shared" si="12"/>
        <v>1</v>
      </c>
      <c r="S48" s="5"/>
      <c r="T48" s="278"/>
    </row>
    <row r="49" spans="1:20" ht="15.75" x14ac:dyDescent="0.2">
      <c r="A49" s="217">
        <f t="shared" si="11"/>
        <v>42644</v>
      </c>
      <c r="B49" s="3">
        <f>'[4]HMO + PACE'!B133</f>
        <v>36</v>
      </c>
      <c r="C49" s="3">
        <f>'[4]HMO + PACE'!C133</f>
        <v>75</v>
      </c>
      <c r="D49" s="3">
        <f>'[4]HMO + PACE'!D133</f>
        <v>789</v>
      </c>
      <c r="E49" s="3">
        <f>'[4]HMO + PACE'!E133</f>
        <v>28</v>
      </c>
      <c r="F49" s="3">
        <f>'[4]HMO + PACE'!F133</f>
        <v>3447</v>
      </c>
      <c r="G49" s="3">
        <f>'[4]HMO + PACE'!G133</f>
        <v>1971</v>
      </c>
      <c r="H49" s="3">
        <f>'[4]HMO + PACE'!H133</f>
        <v>5208</v>
      </c>
      <c r="I49" s="3">
        <f>'[4]HMO + PACE'!I133</f>
        <v>0</v>
      </c>
      <c r="J49" s="3">
        <f>'[4]HMO + PACE'!J133</f>
        <v>8884</v>
      </c>
      <c r="K49" s="3">
        <f>'[4]HMO + PACE'!K133</f>
        <v>1629</v>
      </c>
      <c r="L49" s="3">
        <f>'[4]HMO + PACE'!L133</f>
        <v>316</v>
      </c>
      <c r="M49" s="3">
        <f>'[4]HMO + PACE'!M133</f>
        <v>163</v>
      </c>
      <c r="N49" s="3">
        <f>'[4]HMO + PACE'!N133</f>
        <v>19</v>
      </c>
      <c r="O49" s="3">
        <f>'[4]HMO + PACE'!O133</f>
        <v>0</v>
      </c>
      <c r="P49" s="3">
        <f>'[4]HMO + PACE'!P133</f>
        <v>1</v>
      </c>
      <c r="Q49" s="218">
        <f>'[4]HMO + PACE'!Q133</f>
        <v>22566</v>
      </c>
      <c r="R49" s="56" t="b">
        <f t="shared" si="12"/>
        <v>1</v>
      </c>
      <c r="S49" s="5"/>
      <c r="T49" s="278"/>
    </row>
    <row r="50" spans="1:20" ht="15.75" x14ac:dyDescent="0.2">
      <c r="A50" s="217">
        <f t="shared" si="11"/>
        <v>42675</v>
      </c>
      <c r="B50" s="3">
        <f>'[4]HMO + PACE'!B134</f>
        <v>38</v>
      </c>
      <c r="C50" s="3">
        <f>'[4]HMO + PACE'!C134</f>
        <v>73</v>
      </c>
      <c r="D50" s="3">
        <f>'[4]HMO + PACE'!D134</f>
        <v>790</v>
      </c>
      <c r="E50" s="3">
        <f>'[4]HMO + PACE'!E134</f>
        <v>25</v>
      </c>
      <c r="F50" s="3">
        <f>'[4]HMO + PACE'!F134</f>
        <v>3455</v>
      </c>
      <c r="G50" s="3">
        <f>'[4]HMO + PACE'!G134</f>
        <v>1974</v>
      </c>
      <c r="H50" s="3">
        <f>'[4]HMO + PACE'!H134</f>
        <v>5214</v>
      </c>
      <c r="I50" s="3">
        <f>'[4]HMO + PACE'!I134</f>
        <v>0</v>
      </c>
      <c r="J50" s="3">
        <f>'[4]HMO + PACE'!J134</f>
        <v>8918</v>
      </c>
      <c r="K50" s="3">
        <f>'[4]HMO + PACE'!K134</f>
        <v>1544</v>
      </c>
      <c r="L50" s="3">
        <f>'[4]HMO + PACE'!L134</f>
        <v>305</v>
      </c>
      <c r="M50" s="3">
        <f>'[4]HMO + PACE'!M134</f>
        <v>160</v>
      </c>
      <c r="N50" s="3">
        <f>'[4]HMO + PACE'!N134</f>
        <v>19</v>
      </c>
      <c r="O50" s="3">
        <f>'[4]HMO + PACE'!O134</f>
        <v>0</v>
      </c>
      <c r="P50" s="3">
        <f>'[4]HMO + PACE'!P134</f>
        <v>0</v>
      </c>
      <c r="Q50" s="218">
        <f>'[4]HMO + PACE'!Q134</f>
        <v>22515</v>
      </c>
      <c r="R50" s="56" t="b">
        <f t="shared" si="12"/>
        <v>1</v>
      </c>
      <c r="S50" s="5"/>
      <c r="T50" s="278"/>
    </row>
    <row r="51" spans="1:20" ht="15.75" x14ac:dyDescent="0.2">
      <c r="A51" s="217">
        <f t="shared" si="11"/>
        <v>42705</v>
      </c>
      <c r="B51" s="3">
        <f>'[4]HMO + PACE'!B135</f>
        <v>39</v>
      </c>
      <c r="C51" s="3">
        <f>'[4]HMO + PACE'!C135</f>
        <v>74</v>
      </c>
      <c r="D51" s="3">
        <f>'[4]HMO + PACE'!D135</f>
        <v>752</v>
      </c>
      <c r="E51" s="3">
        <f>'[4]HMO + PACE'!E135</f>
        <v>21</v>
      </c>
      <c r="F51" s="3">
        <f>'[4]HMO + PACE'!F135</f>
        <v>3428</v>
      </c>
      <c r="G51" s="3">
        <f>'[4]HMO + PACE'!G135</f>
        <v>1968</v>
      </c>
      <c r="H51" s="3">
        <f>'[4]HMO + PACE'!H135</f>
        <v>5197</v>
      </c>
      <c r="I51" s="3">
        <f>'[4]HMO + PACE'!I135</f>
        <v>0</v>
      </c>
      <c r="J51" s="3">
        <f>'[4]HMO + PACE'!J135</f>
        <v>8800</v>
      </c>
      <c r="K51" s="3">
        <f>'[4]HMO + PACE'!K135</f>
        <v>1559</v>
      </c>
      <c r="L51" s="3">
        <f>'[4]HMO + PACE'!L135</f>
        <v>306</v>
      </c>
      <c r="M51" s="3">
        <f>'[4]HMO + PACE'!M135</f>
        <v>160</v>
      </c>
      <c r="N51" s="3">
        <f>'[4]HMO + PACE'!N135</f>
        <v>21</v>
      </c>
      <c r="O51" s="3">
        <f>'[4]HMO + PACE'!O135</f>
        <v>0</v>
      </c>
      <c r="P51" s="3">
        <f>'[4]HMO + PACE'!P135</f>
        <v>0</v>
      </c>
      <c r="Q51" s="218">
        <f>'[4]HMO + PACE'!Q135</f>
        <v>22325</v>
      </c>
      <c r="R51" s="56" t="b">
        <f t="shared" si="12"/>
        <v>1</v>
      </c>
      <c r="S51" s="5"/>
      <c r="T51" s="278"/>
    </row>
    <row r="52" spans="1:20" ht="15.75" x14ac:dyDescent="0.2">
      <c r="A52" s="217">
        <f t="shared" si="11"/>
        <v>42736</v>
      </c>
      <c r="B52" s="3">
        <f>'[4]HMO + PACE'!B136</f>
        <v>36</v>
      </c>
      <c r="C52" s="3">
        <f>'[4]HMO + PACE'!C136</f>
        <v>77</v>
      </c>
      <c r="D52" s="3">
        <f>'[4]HMO + PACE'!D136</f>
        <v>767</v>
      </c>
      <c r="E52" s="3">
        <f>'[4]HMO + PACE'!E136</f>
        <v>22</v>
      </c>
      <c r="F52" s="3">
        <f>'[4]HMO + PACE'!F136</f>
        <v>3383</v>
      </c>
      <c r="G52" s="3">
        <f>'[4]HMO + PACE'!G136</f>
        <v>1870</v>
      </c>
      <c r="H52" s="3">
        <f>'[4]HMO + PACE'!H136</f>
        <v>5176</v>
      </c>
      <c r="I52" s="3">
        <f>'[4]HMO + PACE'!I136</f>
        <v>0</v>
      </c>
      <c r="J52" s="3">
        <f>'[4]HMO + PACE'!J136</f>
        <v>8603</v>
      </c>
      <c r="K52" s="3">
        <f>'[4]HMO + PACE'!K136</f>
        <v>1609</v>
      </c>
      <c r="L52" s="3">
        <f>'[4]HMO + PACE'!L136</f>
        <v>303</v>
      </c>
      <c r="M52" s="3">
        <f>'[4]HMO + PACE'!M136</f>
        <v>165</v>
      </c>
      <c r="N52" s="3">
        <f>'[4]HMO + PACE'!N136</f>
        <v>23</v>
      </c>
      <c r="O52" s="3">
        <f>'[4]HMO + PACE'!O136</f>
        <v>0</v>
      </c>
      <c r="P52" s="3">
        <f>'[4]HMO + PACE'!P136</f>
        <v>0</v>
      </c>
      <c r="Q52" s="218">
        <f>'[4]HMO + PACE'!Q136</f>
        <v>22034</v>
      </c>
      <c r="R52" s="56" t="b">
        <f t="shared" si="12"/>
        <v>1</v>
      </c>
      <c r="S52" s="5"/>
      <c r="T52" s="278"/>
    </row>
    <row r="53" spans="1:20" ht="15.75" x14ac:dyDescent="0.2">
      <c r="A53" s="217">
        <f t="shared" si="11"/>
        <v>42767</v>
      </c>
      <c r="B53" s="3">
        <f>'[4]HMO + PACE'!B137</f>
        <v>35</v>
      </c>
      <c r="C53" s="3">
        <f>'[4]HMO + PACE'!C137</f>
        <v>75</v>
      </c>
      <c r="D53" s="3">
        <f>'[4]HMO + PACE'!D137</f>
        <v>765</v>
      </c>
      <c r="E53" s="3">
        <f>'[4]HMO + PACE'!E137</f>
        <v>30</v>
      </c>
      <c r="F53" s="3">
        <f>'[4]HMO + PACE'!F137</f>
        <v>3437</v>
      </c>
      <c r="G53" s="3">
        <f>'[4]HMO + PACE'!G137</f>
        <v>1849</v>
      </c>
      <c r="H53" s="3">
        <f>'[4]HMO + PACE'!H137</f>
        <v>5236</v>
      </c>
      <c r="I53" s="3">
        <f>'[4]HMO + PACE'!I137</f>
        <v>0</v>
      </c>
      <c r="J53" s="3">
        <f>'[4]HMO + PACE'!J137</f>
        <v>8626</v>
      </c>
      <c r="K53" s="3">
        <f>'[4]HMO + PACE'!K137</f>
        <v>1610</v>
      </c>
      <c r="L53" s="3">
        <f>'[4]HMO + PACE'!L137</f>
        <v>296</v>
      </c>
      <c r="M53" s="3">
        <f>'[4]HMO + PACE'!M137</f>
        <v>166</v>
      </c>
      <c r="N53" s="3">
        <f>'[4]HMO + PACE'!N137</f>
        <v>30</v>
      </c>
      <c r="O53" s="3">
        <f>'[4]HMO + PACE'!O137</f>
        <v>0</v>
      </c>
      <c r="P53" s="3">
        <f>'[4]HMO + PACE'!P137</f>
        <v>0</v>
      </c>
      <c r="Q53" s="218">
        <f>'[4]HMO + PACE'!Q137</f>
        <v>22155</v>
      </c>
      <c r="R53" s="56" t="b">
        <f t="shared" si="12"/>
        <v>1</v>
      </c>
      <c r="S53" s="5"/>
      <c r="T53" s="278"/>
    </row>
    <row r="54" spans="1:20" ht="15.75" x14ac:dyDescent="0.2">
      <c r="A54" s="217">
        <f t="shared" si="11"/>
        <v>42795</v>
      </c>
      <c r="B54" s="579">
        <f>'[4]HMO + PACE'!B138</f>
        <v>27</v>
      </c>
      <c r="C54" s="579">
        <f>'[4]HMO + PACE'!C138</f>
        <v>75</v>
      </c>
      <c r="D54" s="579">
        <f>'[4]HMO + PACE'!D138</f>
        <v>769</v>
      </c>
      <c r="E54" s="579">
        <f>'[4]HMO + PACE'!E138</f>
        <v>27</v>
      </c>
      <c r="F54" s="579">
        <f>'[4]HMO + PACE'!F138</f>
        <v>3544</v>
      </c>
      <c r="G54" s="869">
        <f>'[4]HMO + PACE'!G138+'[4]HMO + PACE'!H138</f>
        <v>7131</v>
      </c>
      <c r="H54" s="869"/>
      <c r="I54" s="579">
        <f>'[4]HMO + PACE'!I138</f>
        <v>0</v>
      </c>
      <c r="J54" s="579">
        <f>'[4]HMO + PACE'!J138</f>
        <v>8644</v>
      </c>
      <c r="K54" s="579">
        <f>'[4]HMO + PACE'!K138</f>
        <v>1670</v>
      </c>
      <c r="L54" s="579">
        <f>'[4]HMO + PACE'!L138</f>
        <v>286</v>
      </c>
      <c r="M54" s="579">
        <f>'[4]HMO + PACE'!M138</f>
        <v>157</v>
      </c>
      <c r="N54" s="579">
        <f>'[4]HMO + PACE'!N138</f>
        <v>37</v>
      </c>
      <c r="O54" s="579">
        <f>'[4]HMO + PACE'!O138</f>
        <v>0</v>
      </c>
      <c r="P54" s="579">
        <f>'[4]HMO + PACE'!P138</f>
        <v>0</v>
      </c>
      <c r="Q54" s="581">
        <f>'[4]HMO + PACE'!Q138</f>
        <v>22367</v>
      </c>
      <c r="R54" s="56" t="b">
        <f t="shared" si="12"/>
        <v>1</v>
      </c>
      <c r="S54" s="5"/>
      <c r="T54" s="278"/>
    </row>
    <row r="55" spans="1:20" ht="15.75" x14ac:dyDescent="0.2">
      <c r="A55" s="217">
        <f t="shared" si="11"/>
        <v>42826</v>
      </c>
      <c r="B55" s="579">
        <f>'[4]HMO + PACE'!B139</f>
        <v>28</v>
      </c>
      <c r="C55" s="579">
        <f>'[4]HMO + PACE'!C139</f>
        <v>73</v>
      </c>
      <c r="D55" s="579">
        <f>'[4]HMO + PACE'!D139</f>
        <v>747</v>
      </c>
      <c r="E55" s="579">
        <f>'[4]HMO + PACE'!E139</f>
        <v>28</v>
      </c>
      <c r="F55" s="579">
        <f>'[4]HMO + PACE'!F139</f>
        <v>3664</v>
      </c>
      <c r="G55" s="869">
        <f>'[4]HMO + PACE'!G139+'[4]HMO + PACE'!H139</f>
        <v>6782</v>
      </c>
      <c r="H55" s="869"/>
      <c r="I55" s="579">
        <f>'[4]HMO + PACE'!I139</f>
        <v>0</v>
      </c>
      <c r="J55" s="579">
        <f>'[4]HMO + PACE'!J139</f>
        <v>8481</v>
      </c>
      <c r="K55" s="579">
        <f>'[4]HMO + PACE'!K139</f>
        <v>1578</v>
      </c>
      <c r="L55" s="579">
        <f>'[4]HMO + PACE'!L139</f>
        <v>281</v>
      </c>
      <c r="M55" s="579">
        <f>'[4]HMO + PACE'!M139</f>
        <v>145</v>
      </c>
      <c r="N55" s="579">
        <f>'[4]HMO + PACE'!N139</f>
        <v>32</v>
      </c>
      <c r="O55" s="579">
        <f>'[4]HMO + PACE'!O139</f>
        <v>0</v>
      </c>
      <c r="P55" s="579">
        <f>'[4]HMO + PACE'!P139</f>
        <v>0</v>
      </c>
      <c r="Q55" s="581">
        <f>'[4]HMO + PACE'!Q139</f>
        <v>21839</v>
      </c>
      <c r="R55" s="56" t="b">
        <f t="shared" si="12"/>
        <v>1</v>
      </c>
      <c r="S55" s="5"/>
      <c r="T55" s="278"/>
    </row>
    <row r="56" spans="1:20" ht="15.75" x14ac:dyDescent="0.2">
      <c r="A56" s="217">
        <f t="shared" si="11"/>
        <v>42856</v>
      </c>
      <c r="B56" s="579">
        <f>'[4]HMO + PACE'!B140</f>
        <v>27</v>
      </c>
      <c r="C56" s="579">
        <f>'[4]HMO + PACE'!C140</f>
        <v>70</v>
      </c>
      <c r="D56" s="579">
        <f>'[4]HMO + PACE'!D140</f>
        <v>730</v>
      </c>
      <c r="E56" s="579">
        <f>'[4]HMO + PACE'!E140</f>
        <v>25</v>
      </c>
      <c r="F56" s="579">
        <f>'[4]HMO + PACE'!F140</f>
        <v>3759</v>
      </c>
      <c r="G56" s="869">
        <f>'[4]HMO + PACE'!G140+'[4]HMO + PACE'!H140</f>
        <v>6578</v>
      </c>
      <c r="H56" s="869"/>
      <c r="I56" s="579">
        <f>'[4]HMO + PACE'!I140</f>
        <v>0</v>
      </c>
      <c r="J56" s="579">
        <f>'[4]HMO + PACE'!J140</f>
        <v>8434</v>
      </c>
      <c r="K56" s="579">
        <f>'[4]HMO + PACE'!K140</f>
        <v>1585</v>
      </c>
      <c r="L56" s="579">
        <f>'[4]HMO + PACE'!L140</f>
        <v>287</v>
      </c>
      <c r="M56" s="579">
        <f>'[4]HMO + PACE'!M140</f>
        <v>144</v>
      </c>
      <c r="N56" s="579">
        <f>'[4]HMO + PACE'!N140</f>
        <v>29</v>
      </c>
      <c r="O56" s="579">
        <f>'[4]HMO + PACE'!O140</f>
        <v>0</v>
      </c>
      <c r="P56" s="579">
        <f>'[4]HMO + PACE'!P140</f>
        <v>0</v>
      </c>
      <c r="Q56" s="581">
        <f>'[4]HMO + PACE'!Q140</f>
        <v>21668</v>
      </c>
      <c r="R56" s="56" t="b">
        <f t="shared" si="12"/>
        <v>1</v>
      </c>
      <c r="S56" s="5"/>
      <c r="T56" s="278"/>
    </row>
    <row r="57" spans="1:20" ht="16.5" thickBot="1" x14ac:dyDescent="0.25">
      <c r="A57" s="273">
        <f t="shared" si="11"/>
        <v>42887</v>
      </c>
      <c r="B57" s="603">
        <f>'[4]HMO + PACE'!B141</f>
        <v>28</v>
      </c>
      <c r="C57" s="603">
        <f>'[4]HMO + PACE'!C141</f>
        <v>70</v>
      </c>
      <c r="D57" s="603">
        <f>'[4]HMO + PACE'!D141</f>
        <v>729</v>
      </c>
      <c r="E57" s="603">
        <f>'[4]HMO + PACE'!E141</f>
        <v>31</v>
      </c>
      <c r="F57" s="603">
        <f>'[4]HMO + PACE'!F141</f>
        <v>3825</v>
      </c>
      <c r="G57" s="871">
        <f>'[4]HMO + PACE'!G141+'[4]HMO + PACE'!H141</f>
        <v>6592</v>
      </c>
      <c r="H57" s="871"/>
      <c r="I57" s="603">
        <f>'[4]HMO + PACE'!I141</f>
        <v>0</v>
      </c>
      <c r="J57" s="603">
        <f>'[4]HMO + PACE'!J141</f>
        <v>8376</v>
      </c>
      <c r="K57" s="603">
        <f>'[4]HMO + PACE'!K141</f>
        <v>1536</v>
      </c>
      <c r="L57" s="603">
        <f>'[4]HMO + PACE'!L141</f>
        <v>286</v>
      </c>
      <c r="M57" s="603">
        <f>'[4]HMO + PACE'!M141</f>
        <v>143</v>
      </c>
      <c r="N57" s="603">
        <f>'[4]HMO + PACE'!N141</f>
        <v>26</v>
      </c>
      <c r="O57" s="603">
        <f>'[4]HMO + PACE'!O141</f>
        <v>0</v>
      </c>
      <c r="P57" s="603">
        <f>'[4]HMO + PACE'!P141</f>
        <v>0</v>
      </c>
      <c r="Q57" s="604">
        <f>'[4]HMO + PACE'!Q141</f>
        <v>21642</v>
      </c>
      <c r="R57" s="56" t="b">
        <f t="shared" si="12"/>
        <v>1</v>
      </c>
      <c r="S57" s="5"/>
      <c r="T57" s="278"/>
    </row>
    <row r="58" spans="1:20" ht="17.25" thickTop="1" thickBot="1" x14ac:dyDescent="0.3">
      <c r="A58" s="225" t="str">
        <f t="shared" si="11"/>
        <v>FY 2016-17 Year-to-Date Average</v>
      </c>
      <c r="B58" s="5">
        <f>ROUND(+AVERAGE(B46:B57),0)</f>
        <v>33</v>
      </c>
      <c r="C58" s="5">
        <f>ROUND(+AVERAGE(C46:C57),0)</f>
        <v>73</v>
      </c>
      <c r="D58" s="5">
        <f>ROUND(+AVERAGE(D46:D57),0)</f>
        <v>772</v>
      </c>
      <c r="E58" s="5">
        <f>ROUND(+AVERAGE(E46:E57),0)</f>
        <v>26</v>
      </c>
      <c r="F58" s="5">
        <f>ROUNDUP(+AVERAGE(F46:F57),0)</f>
        <v>3523</v>
      </c>
      <c r="G58" s="879">
        <f>ROUND(AVERAGE((G46+H46),(G47+H47),(G48+H48),(G49+H49),(G50+H50),(G51+H51),(G52+H52),(G53+H53),G54,G55,G56,G57),0)</f>
        <v>7077</v>
      </c>
      <c r="H58" s="879"/>
      <c r="I58" s="5">
        <f t="shared" ref="I58:P58" si="13">ROUND(+AVERAGE(I46:I57),0)</f>
        <v>0</v>
      </c>
      <c r="J58" s="5">
        <f t="shared" si="13"/>
        <v>8722</v>
      </c>
      <c r="K58" s="5">
        <f t="shared" si="13"/>
        <v>1601</v>
      </c>
      <c r="L58" s="5">
        <f t="shared" si="13"/>
        <v>304</v>
      </c>
      <c r="M58" s="5">
        <f t="shared" si="13"/>
        <v>160</v>
      </c>
      <c r="N58" s="5">
        <f t="shared" si="13"/>
        <v>25</v>
      </c>
      <c r="O58" s="5">
        <f t="shared" si="13"/>
        <v>0</v>
      </c>
      <c r="P58" s="5">
        <f t="shared" si="13"/>
        <v>0</v>
      </c>
      <c r="Q58" s="226">
        <f>ROUND(SUM(B58:P58),0)</f>
        <v>22316</v>
      </c>
      <c r="R58" s="56" t="b">
        <f t="shared" si="12"/>
        <v>1</v>
      </c>
      <c r="S58" s="5" t="b">
        <f>Q58=ROUND(AVERAGE(Q46:Q57),0)</f>
        <v>1</v>
      </c>
      <c r="T58" s="278"/>
    </row>
    <row r="59" spans="1:20" ht="16.5" thickBot="1" x14ac:dyDescent="0.25">
      <c r="A59" s="382" t="s">
        <v>194</v>
      </c>
      <c r="B59" s="383"/>
      <c r="C59" s="383"/>
      <c r="D59" s="383"/>
      <c r="E59" s="383"/>
      <c r="F59" s="383"/>
      <c r="G59" s="383"/>
      <c r="H59" s="383"/>
      <c r="I59" s="383"/>
      <c r="J59" s="383"/>
      <c r="K59" s="383"/>
      <c r="L59" s="383"/>
      <c r="M59" s="383"/>
      <c r="N59" s="383"/>
      <c r="O59" s="383"/>
      <c r="P59" s="383"/>
      <c r="Q59" s="384"/>
      <c r="R59" s="324"/>
    </row>
    <row r="60" spans="1:20" ht="15.75" x14ac:dyDescent="0.2">
      <c r="A60" s="223">
        <f>A4</f>
        <v>42552</v>
      </c>
      <c r="B60" s="212">
        <f>'[4]HMO + PACE'!B99</f>
        <v>2526</v>
      </c>
      <c r="C60" s="212">
        <f>'[4]HMO + PACE'!C99</f>
        <v>914</v>
      </c>
      <c r="D60" s="212">
        <f>'[4]HMO + PACE'!D99</f>
        <v>4285</v>
      </c>
      <c r="E60" s="212">
        <f>'[4]HMO + PACE'!E99</f>
        <v>47</v>
      </c>
      <c r="F60" s="212">
        <f>'[4]HMO + PACE'!F99</f>
        <v>9271</v>
      </c>
      <c r="G60" s="212">
        <f>'[4]HMO + PACE'!G99</f>
        <v>4185</v>
      </c>
      <c r="H60" s="212">
        <f>'[4]HMO + PACE'!H99</f>
        <v>13795</v>
      </c>
      <c r="I60" s="212">
        <f>'[4]HMO + PACE'!I99</f>
        <v>2</v>
      </c>
      <c r="J60" s="212">
        <f>'[4]HMO + PACE'!J99</f>
        <v>34350</v>
      </c>
      <c r="K60" s="212">
        <f>'[4]HMO + PACE'!K99</f>
        <v>4496</v>
      </c>
      <c r="L60" s="212">
        <f>'[4]HMO + PACE'!L99</f>
        <v>276</v>
      </c>
      <c r="M60" s="212">
        <f>'[4]HMO + PACE'!M99</f>
        <v>646</v>
      </c>
      <c r="N60" s="212">
        <f>'[4]HMO + PACE'!N99</f>
        <v>67</v>
      </c>
      <c r="O60" s="212">
        <f>'[4]HMO + PACE'!O99</f>
        <v>0</v>
      </c>
      <c r="P60" s="212">
        <f>'[4]HMO + PACE'!P99</f>
        <v>2</v>
      </c>
      <c r="Q60" s="224">
        <f>'[4]HMO + PACE'!Q99</f>
        <v>74862</v>
      </c>
      <c r="R60" s="56" t="b">
        <f>SUM(B60:P60)=Q60</f>
        <v>1</v>
      </c>
      <c r="S60" s="278">
        <f>Q60+Q32</f>
        <v>109102</v>
      </c>
      <c r="T60" s="278">
        <f>S60+Q74</f>
        <v>112120</v>
      </c>
    </row>
    <row r="61" spans="1:20" ht="15.75" x14ac:dyDescent="0.2">
      <c r="A61" s="217">
        <f t="shared" ref="A61:A72" si="14">A5</f>
        <v>42583</v>
      </c>
      <c r="B61" s="3">
        <f>'[4]HMO + PACE'!B100</f>
        <v>2570</v>
      </c>
      <c r="C61" s="3">
        <f>'[4]HMO + PACE'!C100</f>
        <v>914</v>
      </c>
      <c r="D61" s="3">
        <f>'[4]HMO + PACE'!D100</f>
        <v>4270</v>
      </c>
      <c r="E61" s="3">
        <f>'[4]HMO + PACE'!E100</f>
        <v>48</v>
      </c>
      <c r="F61" s="3">
        <f>'[4]HMO + PACE'!F100</f>
        <v>9130</v>
      </c>
      <c r="G61" s="3">
        <f>'[4]HMO + PACE'!G100</f>
        <v>4142</v>
      </c>
      <c r="H61" s="3">
        <f>'[4]HMO + PACE'!H100</f>
        <v>14448</v>
      </c>
      <c r="I61" s="3">
        <f>'[4]HMO + PACE'!I100</f>
        <v>1</v>
      </c>
      <c r="J61" s="3">
        <f>'[4]HMO + PACE'!J100</f>
        <v>34158</v>
      </c>
      <c r="K61" s="3">
        <f>'[4]HMO + PACE'!K100</f>
        <v>4554</v>
      </c>
      <c r="L61" s="3">
        <f>'[4]HMO + PACE'!L100</f>
        <v>269</v>
      </c>
      <c r="M61" s="3">
        <f>'[4]HMO + PACE'!M100</f>
        <v>665</v>
      </c>
      <c r="N61" s="3">
        <f>'[4]HMO + PACE'!N100</f>
        <v>65</v>
      </c>
      <c r="O61" s="3">
        <f>'[4]HMO + PACE'!O100</f>
        <v>0</v>
      </c>
      <c r="P61" s="3">
        <f>'[4]HMO + PACE'!P100</f>
        <v>3</v>
      </c>
      <c r="Q61" s="218">
        <f>'[4]HMO + PACE'!Q100</f>
        <v>75237</v>
      </c>
      <c r="R61" s="56" t="b">
        <f t="shared" ref="R61:R72" si="15">SUM(B61:P61)=Q61</f>
        <v>1</v>
      </c>
      <c r="S61" s="278">
        <f>Q61+Q33</f>
        <v>108463</v>
      </c>
      <c r="T61" s="278">
        <f>S61+Q75</f>
        <v>109779</v>
      </c>
    </row>
    <row r="62" spans="1:20" ht="15.75" x14ac:dyDescent="0.2">
      <c r="A62" s="217">
        <f t="shared" si="14"/>
        <v>42614</v>
      </c>
      <c r="B62" s="3">
        <f>'[4]HMO + PACE'!B101</f>
        <v>2602</v>
      </c>
      <c r="C62" s="3">
        <f>'[4]HMO + PACE'!C101</f>
        <v>919</v>
      </c>
      <c r="D62" s="3">
        <f>'[4]HMO + PACE'!D101</f>
        <v>4256</v>
      </c>
      <c r="E62" s="3">
        <f>'[4]HMO + PACE'!E101</f>
        <v>42</v>
      </c>
      <c r="F62" s="3">
        <f>'[4]HMO + PACE'!F101</f>
        <v>9164</v>
      </c>
      <c r="G62" s="3">
        <f>'[4]HMO + PACE'!G101</f>
        <v>4119</v>
      </c>
      <c r="H62" s="3">
        <f>'[4]HMO + PACE'!H101</f>
        <v>14978</v>
      </c>
      <c r="I62" s="3">
        <f>'[4]HMO + PACE'!I101</f>
        <v>1</v>
      </c>
      <c r="J62" s="3">
        <f>'[4]HMO + PACE'!J101</f>
        <v>33849</v>
      </c>
      <c r="K62" s="3">
        <f>'[4]HMO + PACE'!K101</f>
        <v>4561</v>
      </c>
      <c r="L62" s="3">
        <f>'[4]HMO + PACE'!L101</f>
        <v>239</v>
      </c>
      <c r="M62" s="3">
        <f>'[4]HMO + PACE'!M101</f>
        <v>615</v>
      </c>
      <c r="N62" s="3">
        <f>'[4]HMO + PACE'!N101</f>
        <v>64</v>
      </c>
      <c r="O62" s="3">
        <f>'[4]HMO + PACE'!O101</f>
        <v>0</v>
      </c>
      <c r="P62" s="3">
        <f>'[4]HMO + PACE'!P101</f>
        <v>4</v>
      </c>
      <c r="Q62" s="218">
        <f>'[4]HMO + PACE'!Q101</f>
        <v>75413</v>
      </c>
      <c r="R62" s="56" t="b">
        <f t="shared" si="15"/>
        <v>1</v>
      </c>
      <c r="S62" s="278">
        <f>Q62+Q34</f>
        <v>108678</v>
      </c>
      <c r="T62" s="278">
        <f>S62+Q76</f>
        <v>110209</v>
      </c>
    </row>
    <row r="63" spans="1:20" ht="15.75" x14ac:dyDescent="0.2">
      <c r="A63" s="217">
        <f t="shared" si="14"/>
        <v>42644</v>
      </c>
      <c r="B63" s="3">
        <f>'[4]HMO + PACE'!B102</f>
        <v>2601</v>
      </c>
      <c r="C63" s="3">
        <f>'[4]HMO + PACE'!C102</f>
        <v>925</v>
      </c>
      <c r="D63" s="3">
        <f>'[4]HMO + PACE'!D102</f>
        <v>4226</v>
      </c>
      <c r="E63" s="3">
        <f>'[4]HMO + PACE'!E102</f>
        <v>46</v>
      </c>
      <c r="F63" s="3">
        <f>'[4]HMO + PACE'!F102</f>
        <v>9271</v>
      </c>
      <c r="G63" s="3">
        <f>'[4]HMO + PACE'!G102</f>
        <v>3915</v>
      </c>
      <c r="H63" s="3">
        <f>'[4]HMO + PACE'!H102</f>
        <v>14988</v>
      </c>
      <c r="I63" s="3">
        <f>'[4]HMO + PACE'!I102</f>
        <v>1</v>
      </c>
      <c r="J63" s="3">
        <f>'[4]HMO + PACE'!J102</f>
        <v>33631</v>
      </c>
      <c r="K63" s="3">
        <f>'[4]HMO + PACE'!K102</f>
        <v>4556</v>
      </c>
      <c r="L63" s="3">
        <f>'[4]HMO + PACE'!L102</f>
        <v>239</v>
      </c>
      <c r="M63" s="3">
        <f>'[4]HMO + PACE'!M102</f>
        <v>598</v>
      </c>
      <c r="N63" s="3">
        <f>'[4]HMO + PACE'!N102</f>
        <v>64</v>
      </c>
      <c r="O63" s="3">
        <f>'[4]HMO + PACE'!O102</f>
        <v>0</v>
      </c>
      <c r="P63" s="3">
        <f>'[4]HMO + PACE'!P102</f>
        <v>2</v>
      </c>
      <c r="Q63" s="218">
        <f>'[4]HMO + PACE'!Q102</f>
        <v>75063</v>
      </c>
      <c r="R63" s="56" t="b">
        <f t="shared" si="15"/>
        <v>1</v>
      </c>
    </row>
    <row r="64" spans="1:20" ht="15.75" x14ac:dyDescent="0.2">
      <c r="A64" s="217">
        <f t="shared" si="14"/>
        <v>42675</v>
      </c>
      <c r="B64" s="3">
        <f>'[4]HMO + PACE'!B103</f>
        <v>2661</v>
      </c>
      <c r="C64" s="3">
        <f>'[4]HMO + PACE'!C103</f>
        <v>934</v>
      </c>
      <c r="D64" s="3">
        <f>'[4]HMO + PACE'!D103</f>
        <v>4203</v>
      </c>
      <c r="E64" s="3">
        <f>'[4]HMO + PACE'!E103</f>
        <v>48</v>
      </c>
      <c r="F64" s="3">
        <f>'[4]HMO + PACE'!F103</f>
        <v>9362</v>
      </c>
      <c r="G64" s="3">
        <f>'[4]HMO + PACE'!G103</f>
        <v>3940</v>
      </c>
      <c r="H64" s="3">
        <f>'[4]HMO + PACE'!H103</f>
        <v>15684</v>
      </c>
      <c r="I64" s="3">
        <f>'[4]HMO + PACE'!I103</f>
        <v>1</v>
      </c>
      <c r="J64" s="3">
        <f>'[4]HMO + PACE'!J103</f>
        <v>33728</v>
      </c>
      <c r="K64" s="3">
        <f>'[4]HMO + PACE'!K103</f>
        <v>4322</v>
      </c>
      <c r="L64" s="3">
        <f>'[4]HMO + PACE'!L103</f>
        <v>216</v>
      </c>
      <c r="M64" s="3">
        <f>'[4]HMO + PACE'!M103</f>
        <v>583</v>
      </c>
      <c r="N64" s="3">
        <f>'[4]HMO + PACE'!N103</f>
        <v>50</v>
      </c>
      <c r="O64" s="3">
        <f>'[4]HMO + PACE'!O103</f>
        <v>0</v>
      </c>
      <c r="P64" s="3">
        <f>'[4]HMO + PACE'!P103</f>
        <v>0</v>
      </c>
      <c r="Q64" s="218">
        <f>'[4]HMO + PACE'!Q103</f>
        <v>75732</v>
      </c>
      <c r="R64" s="56" t="b">
        <f t="shared" si="15"/>
        <v>1</v>
      </c>
    </row>
    <row r="65" spans="1:20" ht="15.75" x14ac:dyDescent="0.2">
      <c r="A65" s="217">
        <f t="shared" si="14"/>
        <v>42705</v>
      </c>
      <c r="B65" s="3">
        <f>'[4]HMO + PACE'!B104</f>
        <v>2616</v>
      </c>
      <c r="C65" s="3">
        <f>'[4]HMO + PACE'!C104</f>
        <v>918</v>
      </c>
      <c r="D65" s="3">
        <f>'[4]HMO + PACE'!D104</f>
        <v>4118</v>
      </c>
      <c r="E65" s="3">
        <f>'[4]HMO + PACE'!E104</f>
        <v>49</v>
      </c>
      <c r="F65" s="3">
        <f>'[4]HMO + PACE'!F104</f>
        <v>9405</v>
      </c>
      <c r="G65" s="3">
        <f>'[4]HMO + PACE'!G104</f>
        <v>3959</v>
      </c>
      <c r="H65" s="3">
        <f>'[4]HMO + PACE'!H104</f>
        <v>15988</v>
      </c>
      <c r="I65" s="3">
        <f>'[4]HMO + PACE'!I104</f>
        <v>1</v>
      </c>
      <c r="J65" s="3">
        <f>'[4]HMO + PACE'!J104</f>
        <v>33434</v>
      </c>
      <c r="K65" s="3">
        <f>'[4]HMO + PACE'!K104</f>
        <v>4429</v>
      </c>
      <c r="L65" s="3">
        <f>'[4]HMO + PACE'!L104</f>
        <v>210</v>
      </c>
      <c r="M65" s="3">
        <f>'[4]HMO + PACE'!M104</f>
        <v>552</v>
      </c>
      <c r="N65" s="3">
        <f>'[4]HMO + PACE'!N104</f>
        <v>49</v>
      </c>
      <c r="O65" s="3">
        <f>'[4]HMO + PACE'!O104</f>
        <v>0</v>
      </c>
      <c r="P65" s="3">
        <f>'[4]HMO + PACE'!P104</f>
        <v>2</v>
      </c>
      <c r="Q65" s="218">
        <f>'[4]HMO + PACE'!Q104</f>
        <v>75730</v>
      </c>
      <c r="R65" s="56" t="b">
        <f t="shared" si="15"/>
        <v>1</v>
      </c>
    </row>
    <row r="66" spans="1:20" ht="15.75" x14ac:dyDescent="0.2">
      <c r="A66" s="217">
        <f t="shared" si="14"/>
        <v>42736</v>
      </c>
      <c r="B66" s="3">
        <f>'[4]HMO + PACE'!B105</f>
        <v>2696</v>
      </c>
      <c r="C66" s="3">
        <f>'[4]HMO + PACE'!C105</f>
        <v>940</v>
      </c>
      <c r="D66" s="3">
        <f>'[4]HMO + PACE'!D105</f>
        <v>4228</v>
      </c>
      <c r="E66" s="3">
        <f>'[4]HMO + PACE'!E105</f>
        <v>45</v>
      </c>
      <c r="F66" s="3">
        <f>'[4]HMO + PACE'!F105</f>
        <v>9394</v>
      </c>
      <c r="G66" s="3">
        <f>'[4]HMO + PACE'!G105</f>
        <v>3680</v>
      </c>
      <c r="H66" s="3">
        <f>'[4]HMO + PACE'!H105</f>
        <v>16088</v>
      </c>
      <c r="I66" s="3">
        <f>'[4]HMO + PACE'!I105</f>
        <v>1</v>
      </c>
      <c r="J66" s="3">
        <f>'[4]HMO + PACE'!J105</f>
        <v>33187</v>
      </c>
      <c r="K66" s="3">
        <f>'[4]HMO + PACE'!K105</f>
        <v>4531</v>
      </c>
      <c r="L66" s="3">
        <f>'[4]HMO + PACE'!L105</f>
        <v>200</v>
      </c>
      <c r="M66" s="3">
        <f>'[4]HMO + PACE'!M105</f>
        <v>565</v>
      </c>
      <c r="N66" s="3">
        <f>'[4]HMO + PACE'!N105</f>
        <v>46</v>
      </c>
      <c r="O66" s="3">
        <f>'[4]HMO + PACE'!O105</f>
        <v>2</v>
      </c>
      <c r="P66" s="3">
        <f>'[4]HMO + PACE'!P105</f>
        <v>2</v>
      </c>
      <c r="Q66" s="218">
        <f>'[4]HMO + PACE'!Q105</f>
        <v>75605</v>
      </c>
      <c r="R66" s="56" t="b">
        <f t="shared" si="15"/>
        <v>1</v>
      </c>
    </row>
    <row r="67" spans="1:20" ht="15.75" x14ac:dyDescent="0.2">
      <c r="A67" s="217">
        <f t="shared" si="14"/>
        <v>42767</v>
      </c>
      <c r="B67" s="3">
        <f>'[4]HMO + PACE'!B106</f>
        <v>2763</v>
      </c>
      <c r="C67" s="3">
        <f>'[4]HMO + PACE'!C106</f>
        <v>934</v>
      </c>
      <c r="D67" s="3">
        <f>'[4]HMO + PACE'!D106</f>
        <v>4208</v>
      </c>
      <c r="E67" s="3">
        <f>'[4]HMO + PACE'!E106</f>
        <v>49</v>
      </c>
      <c r="F67" s="3">
        <f>'[4]HMO + PACE'!F106</f>
        <v>9519</v>
      </c>
      <c r="G67" s="3">
        <f>'[4]HMO + PACE'!G106</f>
        <v>3710</v>
      </c>
      <c r="H67" s="3">
        <f>'[4]HMO + PACE'!H106</f>
        <v>16761</v>
      </c>
      <c r="I67" s="3">
        <f>'[4]HMO + PACE'!I106</f>
        <v>1</v>
      </c>
      <c r="J67" s="3">
        <f>'[4]HMO + PACE'!J106</f>
        <v>33231</v>
      </c>
      <c r="K67" s="3">
        <f>'[4]HMO + PACE'!K106</f>
        <v>4493</v>
      </c>
      <c r="L67" s="3">
        <f>'[4]HMO + PACE'!L106</f>
        <v>195</v>
      </c>
      <c r="M67" s="3">
        <f>'[4]HMO + PACE'!M106</f>
        <v>551</v>
      </c>
      <c r="N67" s="3">
        <f>'[4]HMO + PACE'!N106</f>
        <v>47</v>
      </c>
      <c r="O67" s="3">
        <f>'[4]HMO + PACE'!O106</f>
        <v>0</v>
      </c>
      <c r="P67" s="3">
        <f>'[4]HMO + PACE'!P106</f>
        <v>2</v>
      </c>
      <c r="Q67" s="218">
        <f>'[4]HMO + PACE'!Q106</f>
        <v>76464</v>
      </c>
      <c r="R67" s="56" t="b">
        <f t="shared" si="15"/>
        <v>1</v>
      </c>
    </row>
    <row r="68" spans="1:20" ht="15.75" x14ac:dyDescent="0.2">
      <c r="A68" s="217">
        <f t="shared" si="14"/>
        <v>42795</v>
      </c>
      <c r="B68" s="579">
        <f>'[4]HMO + PACE'!B107</f>
        <v>2959</v>
      </c>
      <c r="C68" s="579">
        <f>'[4]HMO + PACE'!C107</f>
        <v>945</v>
      </c>
      <c r="D68" s="579">
        <f>'[4]HMO + PACE'!D107</f>
        <v>4221</v>
      </c>
      <c r="E68" s="579">
        <f>'[4]HMO + PACE'!E107</f>
        <v>56</v>
      </c>
      <c r="F68" s="579">
        <f>'[4]HMO + PACE'!F107</f>
        <v>9773</v>
      </c>
      <c r="G68" s="869">
        <f>'[4]HMO + PACE'!G107+'[4]HMO + PACE'!H107</f>
        <v>21993</v>
      </c>
      <c r="H68" s="869"/>
      <c r="I68" s="579">
        <f>'[4]HMO + PACE'!I107</f>
        <v>2</v>
      </c>
      <c r="J68" s="579">
        <f>'[4]HMO + PACE'!J107</f>
        <v>33395</v>
      </c>
      <c r="K68" s="579">
        <f>'[4]HMO + PACE'!K107</f>
        <v>4655</v>
      </c>
      <c r="L68" s="579">
        <f>'[4]HMO + PACE'!L107</f>
        <v>187</v>
      </c>
      <c r="M68" s="579">
        <f>'[4]HMO + PACE'!M107</f>
        <v>580</v>
      </c>
      <c r="N68" s="579">
        <f>'[4]HMO + PACE'!N107</f>
        <v>70</v>
      </c>
      <c r="O68" s="579">
        <f>'[4]HMO + PACE'!O107</f>
        <v>0</v>
      </c>
      <c r="P68" s="579">
        <f>'[4]HMO + PACE'!P107</f>
        <v>0</v>
      </c>
      <c r="Q68" s="581">
        <f>'[4]HMO + PACE'!Q107</f>
        <v>78836</v>
      </c>
      <c r="R68" s="56" t="b">
        <f t="shared" si="15"/>
        <v>1</v>
      </c>
    </row>
    <row r="69" spans="1:20" ht="15.75" x14ac:dyDescent="0.2">
      <c r="A69" s="217">
        <f t="shared" si="14"/>
        <v>42826</v>
      </c>
      <c r="B69" s="579">
        <f>'[4]HMO + PACE'!B108</f>
        <v>1736</v>
      </c>
      <c r="C69" s="579">
        <f>'[4]HMO + PACE'!C108</f>
        <v>740</v>
      </c>
      <c r="D69" s="579">
        <f>'[4]HMO + PACE'!D108</f>
        <v>3489</v>
      </c>
      <c r="E69" s="579">
        <f>'[4]HMO + PACE'!E108</f>
        <v>51</v>
      </c>
      <c r="F69" s="579">
        <f>'[4]HMO + PACE'!F108</f>
        <v>10255</v>
      </c>
      <c r="G69" s="869">
        <f>'[4]HMO + PACE'!G108+'[4]HMO + PACE'!H108</f>
        <v>22859</v>
      </c>
      <c r="H69" s="869"/>
      <c r="I69" s="579">
        <f>'[4]HMO + PACE'!I108</f>
        <v>3</v>
      </c>
      <c r="J69" s="579">
        <f>'[4]HMO + PACE'!J108</f>
        <v>34254</v>
      </c>
      <c r="K69" s="579">
        <f>'[4]HMO + PACE'!K108</f>
        <v>4594</v>
      </c>
      <c r="L69" s="579">
        <f>'[4]HMO + PACE'!L108</f>
        <v>228</v>
      </c>
      <c r="M69" s="579">
        <f>'[4]HMO + PACE'!M108</f>
        <v>578</v>
      </c>
      <c r="N69" s="579">
        <f>'[4]HMO + PACE'!N108</f>
        <v>66</v>
      </c>
      <c r="O69" s="579">
        <f>'[4]HMO + PACE'!O108</f>
        <v>0</v>
      </c>
      <c r="P69" s="579">
        <f>'[4]HMO + PACE'!P108</f>
        <v>0</v>
      </c>
      <c r="Q69" s="581">
        <f>'[4]HMO + PACE'!Q108</f>
        <v>78853</v>
      </c>
      <c r="R69" s="56" t="b">
        <f t="shared" si="15"/>
        <v>1</v>
      </c>
    </row>
    <row r="70" spans="1:20" ht="15.75" x14ac:dyDescent="0.2">
      <c r="A70" s="217">
        <f t="shared" si="14"/>
        <v>42856</v>
      </c>
      <c r="B70" s="579">
        <f>'[4]HMO + PACE'!B109</f>
        <v>2368</v>
      </c>
      <c r="C70" s="579">
        <f>'[4]HMO + PACE'!C109</f>
        <v>802</v>
      </c>
      <c r="D70" s="579">
        <f>'[4]HMO + PACE'!D109</f>
        <v>3745</v>
      </c>
      <c r="E70" s="579">
        <f>'[4]HMO + PACE'!E109</f>
        <v>146</v>
      </c>
      <c r="F70" s="579">
        <f>'[4]HMO + PACE'!F109</f>
        <v>11191</v>
      </c>
      <c r="G70" s="869">
        <f>'[4]HMO + PACE'!G109+'[4]HMO + PACE'!H109</f>
        <v>25684</v>
      </c>
      <c r="H70" s="869"/>
      <c r="I70" s="579">
        <f>'[4]HMO + PACE'!I109</f>
        <v>13</v>
      </c>
      <c r="J70" s="579">
        <f>'[4]HMO + PACE'!J109</f>
        <v>35101</v>
      </c>
      <c r="K70" s="579">
        <f>'[4]HMO + PACE'!K109</f>
        <v>4871</v>
      </c>
      <c r="L70" s="579">
        <f>'[4]HMO + PACE'!L109</f>
        <v>235</v>
      </c>
      <c r="M70" s="579">
        <f>'[4]HMO + PACE'!M109</f>
        <v>626</v>
      </c>
      <c r="N70" s="579">
        <f>'[4]HMO + PACE'!N109</f>
        <v>78</v>
      </c>
      <c r="O70" s="579">
        <f>'[4]HMO + PACE'!O109</f>
        <v>0</v>
      </c>
      <c r="P70" s="579">
        <f>'[4]HMO + PACE'!P109</f>
        <v>0</v>
      </c>
      <c r="Q70" s="581">
        <f>'[4]HMO + PACE'!Q109</f>
        <v>84860</v>
      </c>
      <c r="R70" s="56" t="b">
        <f t="shared" si="15"/>
        <v>1</v>
      </c>
    </row>
    <row r="71" spans="1:20" ht="16.5" thickBot="1" x14ac:dyDescent="0.25">
      <c r="A71" s="273">
        <f t="shared" si="14"/>
        <v>42887</v>
      </c>
      <c r="B71" s="603">
        <f>'[4]HMO + PACE'!B110</f>
        <v>1991</v>
      </c>
      <c r="C71" s="603">
        <f>'[4]HMO + PACE'!C110</f>
        <v>751</v>
      </c>
      <c r="D71" s="603">
        <f>'[4]HMO + PACE'!D110</f>
        <v>3680</v>
      </c>
      <c r="E71" s="603">
        <f>'[4]HMO + PACE'!E110</f>
        <v>191</v>
      </c>
      <c r="F71" s="603">
        <f>'[4]HMO + PACE'!F110</f>
        <v>11873</v>
      </c>
      <c r="G71" s="871">
        <f>'[4]HMO + PACE'!G110+'[4]HMO + PACE'!H110</f>
        <v>28768</v>
      </c>
      <c r="H71" s="871"/>
      <c r="I71" s="603">
        <f>'[4]HMO + PACE'!I110</f>
        <v>13</v>
      </c>
      <c r="J71" s="603">
        <f>'[4]HMO + PACE'!J110</f>
        <v>36699</v>
      </c>
      <c r="K71" s="603">
        <f>'[4]HMO + PACE'!K110</f>
        <v>4943</v>
      </c>
      <c r="L71" s="603">
        <f>'[4]HMO + PACE'!L110</f>
        <v>247</v>
      </c>
      <c r="M71" s="603">
        <f>'[4]HMO + PACE'!M110</f>
        <v>700</v>
      </c>
      <c r="N71" s="603">
        <f>'[4]HMO + PACE'!N110</f>
        <v>95</v>
      </c>
      <c r="O71" s="603">
        <f>'[4]HMO + PACE'!O110</f>
        <v>0</v>
      </c>
      <c r="P71" s="603">
        <f>'[4]HMO + PACE'!P110</f>
        <v>0</v>
      </c>
      <c r="Q71" s="604">
        <f>'[4]HMO + PACE'!Q110</f>
        <v>89951</v>
      </c>
      <c r="R71" s="56" t="b">
        <f t="shared" si="15"/>
        <v>1</v>
      </c>
      <c r="T71" s="278" t="b">
        <f>ROUND(Q72,0)=ROUND(SUM(B72:P72),0)</f>
        <v>1</v>
      </c>
    </row>
    <row r="72" spans="1:20" ht="17.25" thickTop="1" thickBot="1" x14ac:dyDescent="0.3">
      <c r="A72" s="225" t="str">
        <f t="shared" si="14"/>
        <v>FY 2016-17 Year-to-Date Average</v>
      </c>
      <c r="B72" s="5">
        <f>ROUND(+AVERAGE(B60:B71),0)</f>
        <v>2507</v>
      </c>
      <c r="C72" s="5">
        <f>ROUND(+AVERAGE(C60:C71),0)</f>
        <v>886</v>
      </c>
      <c r="D72" s="5">
        <f>ROUNDUP(+AVERAGE(D60:D71),0)</f>
        <v>4078</v>
      </c>
      <c r="E72" s="5">
        <f>ROUND(+AVERAGE(E60:E71),0)</f>
        <v>68</v>
      </c>
      <c r="F72" s="5">
        <f>ROUND(+AVERAGE(F60:F71),0)</f>
        <v>9801</v>
      </c>
      <c r="G72" s="879">
        <f>ROUNDUP(AVERAGE((G60+H60),(G61+H61),(G62+H62),(G63+H63),(G64+H64),(G65+H65),(G66+H66),(G67+H67),G68,G69,G70,G71),0)</f>
        <v>21141</v>
      </c>
      <c r="H72" s="879"/>
      <c r="I72" s="5">
        <f>ROUND(+AVERAGE(I60:I71),0)</f>
        <v>3</v>
      </c>
      <c r="J72" s="5">
        <f>ROUNDUP(+AVERAGE(J60:J71),0)</f>
        <v>34085</v>
      </c>
      <c r="K72" s="5">
        <f>ROUNDUP(+AVERAGE(K60:K71),0)</f>
        <v>4584</v>
      </c>
      <c r="L72" s="5">
        <f>ROUND(+AVERAGE(L60:L71),0)</f>
        <v>228</v>
      </c>
      <c r="M72" s="5">
        <f>ROUND(+AVERAGE(M60:M71),0)</f>
        <v>605</v>
      </c>
      <c r="N72" s="5">
        <f>ROUND(+AVERAGE(N60:N71),0)</f>
        <v>63</v>
      </c>
      <c r="O72" s="5">
        <f>ROUND(+AVERAGE(O60:O71),0)</f>
        <v>0</v>
      </c>
      <c r="P72" s="5">
        <f>ROUND(+AVERAGE(P60:P71),0)</f>
        <v>1</v>
      </c>
      <c r="Q72" s="226">
        <f>ROUND(SUM(B72:P72),0)</f>
        <v>78050</v>
      </c>
      <c r="R72" s="56" t="b">
        <f t="shared" si="15"/>
        <v>1</v>
      </c>
      <c r="S72" s="5" t="b">
        <f>Q72=ROUND(AVERAGE(Q60:Q71),0)</f>
        <v>0</v>
      </c>
      <c r="T72" s="322"/>
    </row>
    <row r="73" spans="1:20" ht="19.5" thickBot="1" x14ac:dyDescent="0.25">
      <c r="A73" s="382" t="s">
        <v>333</v>
      </c>
      <c r="B73" s="383"/>
      <c r="C73" s="383"/>
      <c r="D73" s="383"/>
      <c r="E73" s="383"/>
      <c r="F73" s="383"/>
      <c r="G73" s="383"/>
      <c r="H73" s="383"/>
      <c r="I73" s="383"/>
      <c r="J73" s="383"/>
      <c r="K73" s="383"/>
      <c r="L73" s="383"/>
      <c r="M73" s="383"/>
      <c r="N73" s="383"/>
      <c r="O73" s="383"/>
      <c r="P73" s="383"/>
      <c r="Q73" s="384"/>
      <c r="R73" s="324"/>
    </row>
    <row r="74" spans="1:20" ht="15.75" x14ac:dyDescent="0.2">
      <c r="A74" s="223">
        <f>A4</f>
        <v>42552</v>
      </c>
      <c r="B74" s="212">
        <f>'[4]HMO + PACE'!B192</f>
        <v>2501</v>
      </c>
      <c r="C74" s="212">
        <f>'[4]HMO + PACE'!C192</f>
        <v>348</v>
      </c>
      <c r="D74" s="212">
        <f>'[4]HMO + PACE'!D192</f>
        <v>169</v>
      </c>
      <c r="E74" s="212">
        <f>'[4]HMO + PACE'!E192</f>
        <v>0</v>
      </c>
      <c r="F74" s="212">
        <f>'[4]HMO + PACE'!F192</f>
        <v>0</v>
      </c>
      <c r="G74" s="212">
        <f>'[4]HMO + PACE'!G192</f>
        <v>0</v>
      </c>
      <c r="H74" s="212">
        <f>'[4]HMO + PACE'!H192</f>
        <v>0</v>
      </c>
      <c r="I74" s="212">
        <f>'[4]HMO + PACE'!I192</f>
        <v>0</v>
      </c>
      <c r="J74" s="212">
        <f>'[4]HMO + PACE'!J192</f>
        <v>0</v>
      </c>
      <c r="K74" s="212">
        <f>'[4]HMO + PACE'!K192</f>
        <v>0</v>
      </c>
      <c r="L74" s="212">
        <f>'[4]HMO + PACE'!L192</f>
        <v>0</v>
      </c>
      <c r="M74" s="212">
        <f>'[4]HMO + PACE'!M192</f>
        <v>0</v>
      </c>
      <c r="N74" s="212">
        <f>'[4]HMO + PACE'!N192</f>
        <v>0</v>
      </c>
      <c r="O74" s="212">
        <f>'[4]HMO + PACE'!O192</f>
        <v>0</v>
      </c>
      <c r="P74" s="212">
        <f>'[4]HMO + PACE'!P192</f>
        <v>0</v>
      </c>
      <c r="Q74" s="224">
        <f>'[4]HMO + PACE'!Q192</f>
        <v>3018</v>
      </c>
      <c r="R74" s="56" t="b">
        <f>SUM(B74:P74)=Q74</f>
        <v>1</v>
      </c>
    </row>
    <row r="75" spans="1:20" ht="15.75" x14ac:dyDescent="0.2">
      <c r="A75" s="217">
        <f t="shared" ref="A75:A86" si="16">A5</f>
        <v>42583</v>
      </c>
      <c r="B75" s="3">
        <f>'[4]HMO + PACE'!B193</f>
        <v>1041</v>
      </c>
      <c r="C75" s="3">
        <f>'[4]HMO + PACE'!C193</f>
        <v>169</v>
      </c>
      <c r="D75" s="3">
        <f>'[4]HMO + PACE'!D193</f>
        <v>105</v>
      </c>
      <c r="E75" s="3">
        <f>'[4]HMO + PACE'!E193</f>
        <v>0</v>
      </c>
      <c r="F75" s="3">
        <f>'[4]HMO + PACE'!F193</f>
        <v>0</v>
      </c>
      <c r="G75" s="3">
        <f>'[4]HMO + PACE'!G193</f>
        <v>0</v>
      </c>
      <c r="H75" s="3">
        <f>'[4]HMO + PACE'!H193</f>
        <v>0</v>
      </c>
      <c r="I75" s="3">
        <f>'[4]HMO + PACE'!I193</f>
        <v>0</v>
      </c>
      <c r="J75" s="3">
        <f>'[4]HMO + PACE'!J193</f>
        <v>1</v>
      </c>
      <c r="K75" s="3">
        <f>'[4]HMO + PACE'!K193</f>
        <v>0</v>
      </c>
      <c r="L75" s="3">
        <f>'[4]HMO + PACE'!L193</f>
        <v>0</v>
      </c>
      <c r="M75" s="3">
        <f>'[4]HMO + PACE'!M193</f>
        <v>0</v>
      </c>
      <c r="N75" s="3">
        <f>'[4]HMO + PACE'!N193</f>
        <v>0</v>
      </c>
      <c r="O75" s="3">
        <f>'[4]HMO + PACE'!O193</f>
        <v>0</v>
      </c>
      <c r="P75" s="3">
        <f>'[4]HMO + PACE'!P193</f>
        <v>0</v>
      </c>
      <c r="Q75" s="218">
        <f>'[4]HMO + PACE'!Q193</f>
        <v>1316</v>
      </c>
      <c r="R75" s="56" t="b">
        <f t="shared" ref="R75:R86" si="17">SUM(B75:P75)=Q75</f>
        <v>1</v>
      </c>
    </row>
    <row r="76" spans="1:20" ht="15.75" x14ac:dyDescent="0.2">
      <c r="A76" s="217">
        <f t="shared" si="16"/>
        <v>42614</v>
      </c>
      <c r="B76" s="3">
        <f>'[4]HMO + PACE'!B194</f>
        <v>1221</v>
      </c>
      <c r="C76" s="3">
        <f>'[4]HMO + PACE'!C194</f>
        <v>191</v>
      </c>
      <c r="D76" s="3">
        <f>'[4]HMO + PACE'!D194</f>
        <v>118</v>
      </c>
      <c r="E76" s="3">
        <f>'[4]HMO + PACE'!E194</f>
        <v>0</v>
      </c>
      <c r="F76" s="3">
        <f>'[4]HMO + PACE'!F194</f>
        <v>0</v>
      </c>
      <c r="G76" s="3">
        <f>'[4]HMO + PACE'!G194</f>
        <v>0</v>
      </c>
      <c r="H76" s="3">
        <f>'[4]HMO + PACE'!H194</f>
        <v>1</v>
      </c>
      <c r="I76" s="3">
        <f>'[4]HMO + PACE'!I194</f>
        <v>0</v>
      </c>
      <c r="J76" s="3">
        <f>'[4]HMO + PACE'!J194</f>
        <v>0</v>
      </c>
      <c r="K76" s="3">
        <f>'[4]HMO + PACE'!K194</f>
        <v>0</v>
      </c>
      <c r="L76" s="3">
        <f>'[4]HMO + PACE'!L194</f>
        <v>0</v>
      </c>
      <c r="M76" s="3">
        <f>'[4]HMO + PACE'!M194</f>
        <v>0</v>
      </c>
      <c r="N76" s="3">
        <f>'[4]HMO + PACE'!N194</f>
        <v>0</v>
      </c>
      <c r="O76" s="3">
        <f>'[4]HMO + PACE'!O194</f>
        <v>0</v>
      </c>
      <c r="P76" s="3">
        <f>'[4]HMO + PACE'!P194</f>
        <v>0</v>
      </c>
      <c r="Q76" s="218">
        <f>'[4]HMO + PACE'!Q194</f>
        <v>1531</v>
      </c>
      <c r="R76" s="56" t="b">
        <f t="shared" si="17"/>
        <v>1</v>
      </c>
    </row>
    <row r="77" spans="1:20" ht="15.75" x14ac:dyDescent="0.2">
      <c r="A77" s="217">
        <f t="shared" si="16"/>
        <v>42644</v>
      </c>
      <c r="B77" s="3">
        <f>'[4]HMO + PACE'!B195</f>
        <v>2313</v>
      </c>
      <c r="C77" s="3">
        <f>'[4]HMO + PACE'!C195</f>
        <v>309</v>
      </c>
      <c r="D77" s="3">
        <f>'[4]HMO + PACE'!D195</f>
        <v>157</v>
      </c>
      <c r="E77" s="3">
        <f>'[4]HMO + PACE'!E195</f>
        <v>0</v>
      </c>
      <c r="F77" s="3">
        <f>'[4]HMO + PACE'!F195</f>
        <v>0</v>
      </c>
      <c r="G77" s="3">
        <f>'[4]HMO + PACE'!G195</f>
        <v>0</v>
      </c>
      <c r="H77" s="3">
        <f>'[4]HMO + PACE'!H195</f>
        <v>0</v>
      </c>
      <c r="I77" s="3">
        <f>'[4]HMO + PACE'!I195</f>
        <v>0</v>
      </c>
      <c r="J77" s="3">
        <f>'[4]HMO + PACE'!J195</f>
        <v>0</v>
      </c>
      <c r="K77" s="3">
        <f>'[4]HMO + PACE'!K195</f>
        <v>0</v>
      </c>
      <c r="L77" s="3">
        <f>'[4]HMO + PACE'!L195</f>
        <v>0</v>
      </c>
      <c r="M77" s="3">
        <f>'[4]HMO + PACE'!M195</f>
        <v>0</v>
      </c>
      <c r="N77" s="3">
        <f>'[4]HMO + PACE'!N195</f>
        <v>0</v>
      </c>
      <c r="O77" s="3">
        <f>'[4]HMO + PACE'!O195</f>
        <v>0</v>
      </c>
      <c r="P77" s="3">
        <f>'[4]HMO + PACE'!P195</f>
        <v>0</v>
      </c>
      <c r="Q77" s="218">
        <f>'[4]HMO + PACE'!Q195</f>
        <v>2779</v>
      </c>
      <c r="R77" s="56" t="b">
        <f t="shared" si="17"/>
        <v>1</v>
      </c>
    </row>
    <row r="78" spans="1:20" ht="15.75" x14ac:dyDescent="0.2">
      <c r="A78" s="217">
        <f t="shared" si="16"/>
        <v>42675</v>
      </c>
      <c r="B78" s="3">
        <f>'[4]HMO + PACE'!B196</f>
        <v>2494</v>
      </c>
      <c r="C78" s="3">
        <f>'[4]HMO + PACE'!C196</f>
        <v>345</v>
      </c>
      <c r="D78" s="3">
        <f>'[4]HMO + PACE'!D196</f>
        <v>164</v>
      </c>
      <c r="E78" s="3">
        <f>'[4]HMO + PACE'!E196</f>
        <v>0</v>
      </c>
      <c r="F78" s="3">
        <f>'[4]HMO + PACE'!F196</f>
        <v>0</v>
      </c>
      <c r="G78" s="3">
        <f>'[4]HMO + PACE'!G196</f>
        <v>0</v>
      </c>
      <c r="H78" s="3">
        <f>'[4]HMO + PACE'!H196</f>
        <v>0</v>
      </c>
      <c r="I78" s="3">
        <f>'[4]HMO + PACE'!I196</f>
        <v>0</v>
      </c>
      <c r="J78" s="3">
        <f>'[4]HMO + PACE'!J196</f>
        <v>0</v>
      </c>
      <c r="K78" s="3">
        <f>'[4]HMO + PACE'!K196</f>
        <v>0</v>
      </c>
      <c r="L78" s="3">
        <f>'[4]HMO + PACE'!L196</f>
        <v>0</v>
      </c>
      <c r="M78" s="3">
        <f>'[4]HMO + PACE'!M196</f>
        <v>0</v>
      </c>
      <c r="N78" s="3">
        <f>'[4]HMO + PACE'!N196</f>
        <v>0</v>
      </c>
      <c r="O78" s="3">
        <f>'[4]HMO + PACE'!O196</f>
        <v>0</v>
      </c>
      <c r="P78" s="3">
        <f>'[4]HMO + PACE'!P196</f>
        <v>0</v>
      </c>
      <c r="Q78" s="218">
        <f>'[4]HMO + PACE'!Q196</f>
        <v>3003</v>
      </c>
      <c r="R78" s="56" t="b">
        <f t="shared" si="17"/>
        <v>1</v>
      </c>
    </row>
    <row r="79" spans="1:20" ht="15.75" x14ac:dyDescent="0.2">
      <c r="A79" s="217">
        <f t="shared" si="16"/>
        <v>42705</v>
      </c>
      <c r="B79" s="3">
        <f>'[4]HMO + PACE'!B197</f>
        <v>2497</v>
      </c>
      <c r="C79" s="3">
        <f>'[4]HMO + PACE'!C197</f>
        <v>336</v>
      </c>
      <c r="D79" s="3">
        <f>'[4]HMO + PACE'!D197</f>
        <v>157</v>
      </c>
      <c r="E79" s="3">
        <f>'[4]HMO + PACE'!E197</f>
        <v>0</v>
      </c>
      <c r="F79" s="3">
        <f>'[4]HMO + PACE'!F197</f>
        <v>0</v>
      </c>
      <c r="G79" s="3">
        <f>'[4]HMO + PACE'!G197</f>
        <v>0</v>
      </c>
      <c r="H79" s="3">
        <f>'[4]HMO + PACE'!H197</f>
        <v>0</v>
      </c>
      <c r="I79" s="3">
        <f>'[4]HMO + PACE'!I197</f>
        <v>0</v>
      </c>
      <c r="J79" s="3">
        <f>'[4]HMO + PACE'!J197</f>
        <v>0</v>
      </c>
      <c r="K79" s="3">
        <f>'[4]HMO + PACE'!K197</f>
        <v>0</v>
      </c>
      <c r="L79" s="3">
        <f>'[4]HMO + PACE'!L197</f>
        <v>0</v>
      </c>
      <c r="M79" s="3">
        <f>'[4]HMO + PACE'!M197</f>
        <v>0</v>
      </c>
      <c r="N79" s="3">
        <f>'[4]HMO + PACE'!N197</f>
        <v>0</v>
      </c>
      <c r="O79" s="3">
        <f>'[4]HMO + PACE'!O197</f>
        <v>0</v>
      </c>
      <c r="P79" s="3">
        <f>'[4]HMO + PACE'!P197</f>
        <v>0</v>
      </c>
      <c r="Q79" s="218">
        <f>'[4]HMO + PACE'!Q197</f>
        <v>2990</v>
      </c>
      <c r="R79" s="56" t="b">
        <f t="shared" si="17"/>
        <v>1</v>
      </c>
    </row>
    <row r="80" spans="1:20" ht="15.75" x14ac:dyDescent="0.2">
      <c r="A80" s="217">
        <f t="shared" si="16"/>
        <v>42736</v>
      </c>
      <c r="B80" s="3">
        <f>'[4]HMO + PACE'!B198</f>
        <v>2628</v>
      </c>
      <c r="C80" s="3">
        <f>'[4]HMO + PACE'!C198</f>
        <v>353</v>
      </c>
      <c r="D80" s="3">
        <f>'[4]HMO + PACE'!D198</f>
        <v>170</v>
      </c>
      <c r="E80" s="3">
        <f>'[4]HMO + PACE'!E198</f>
        <v>0</v>
      </c>
      <c r="F80" s="3">
        <f>'[4]HMO + PACE'!F198</f>
        <v>0</v>
      </c>
      <c r="G80" s="3">
        <f>'[4]HMO + PACE'!G198</f>
        <v>0</v>
      </c>
      <c r="H80" s="3">
        <f>'[4]HMO + PACE'!H198</f>
        <v>0</v>
      </c>
      <c r="I80" s="3">
        <f>'[4]HMO + PACE'!I198</f>
        <v>0</v>
      </c>
      <c r="J80" s="3">
        <f>'[4]HMO + PACE'!J198</f>
        <v>0</v>
      </c>
      <c r="K80" s="3">
        <f>'[4]HMO + PACE'!K198</f>
        <v>0</v>
      </c>
      <c r="L80" s="3">
        <f>'[4]HMO + PACE'!L198</f>
        <v>0</v>
      </c>
      <c r="M80" s="3">
        <f>'[4]HMO + PACE'!M198</f>
        <v>0</v>
      </c>
      <c r="N80" s="3">
        <f>'[4]HMO + PACE'!N198</f>
        <v>0</v>
      </c>
      <c r="O80" s="3">
        <f>'[4]HMO + PACE'!O198</f>
        <v>0</v>
      </c>
      <c r="P80" s="3">
        <f>'[4]HMO + PACE'!P198</f>
        <v>1</v>
      </c>
      <c r="Q80" s="218">
        <f>'[4]HMO + PACE'!Q198</f>
        <v>3152</v>
      </c>
      <c r="R80" s="56" t="b">
        <f t="shared" si="17"/>
        <v>1</v>
      </c>
    </row>
    <row r="81" spans="1:20" ht="15.75" x14ac:dyDescent="0.2">
      <c r="A81" s="217">
        <f t="shared" si="16"/>
        <v>42767</v>
      </c>
      <c r="B81" s="3">
        <f>'[4]HMO + PACE'!B199</f>
        <v>2589</v>
      </c>
      <c r="C81" s="3">
        <f>'[4]HMO + PACE'!C199</f>
        <v>352</v>
      </c>
      <c r="D81" s="3">
        <f>'[4]HMO + PACE'!D199</f>
        <v>165</v>
      </c>
      <c r="E81" s="3">
        <f>'[4]HMO + PACE'!E199</f>
        <v>0</v>
      </c>
      <c r="F81" s="3">
        <f>'[4]HMO + PACE'!F199</f>
        <v>0</v>
      </c>
      <c r="G81" s="3">
        <f>'[4]HMO + PACE'!G199</f>
        <v>0</v>
      </c>
      <c r="H81" s="3">
        <f>'[4]HMO + PACE'!H199</f>
        <v>0</v>
      </c>
      <c r="I81" s="3">
        <f>'[4]HMO + PACE'!I199</f>
        <v>0</v>
      </c>
      <c r="J81" s="3">
        <f>'[4]HMO + PACE'!J199</f>
        <v>0</v>
      </c>
      <c r="K81" s="3">
        <f>'[4]HMO + PACE'!K199</f>
        <v>0</v>
      </c>
      <c r="L81" s="3">
        <f>'[4]HMO + PACE'!L199</f>
        <v>0</v>
      </c>
      <c r="M81" s="3">
        <f>'[4]HMO + PACE'!M199</f>
        <v>0</v>
      </c>
      <c r="N81" s="3">
        <f>'[4]HMO + PACE'!N199</f>
        <v>0</v>
      </c>
      <c r="O81" s="3">
        <f>'[4]HMO + PACE'!O199</f>
        <v>0</v>
      </c>
      <c r="P81" s="3">
        <f>'[4]HMO + PACE'!P199</f>
        <v>0</v>
      </c>
      <c r="Q81" s="218">
        <f>'[4]HMO + PACE'!Q199</f>
        <v>3106</v>
      </c>
      <c r="R81" s="56" t="b">
        <f t="shared" si="17"/>
        <v>1</v>
      </c>
    </row>
    <row r="82" spans="1:20" ht="15.75" x14ac:dyDescent="0.2">
      <c r="A82" s="217">
        <f t="shared" si="16"/>
        <v>42795</v>
      </c>
      <c r="B82" s="579">
        <f>'[4]HMO + PACE'!B200</f>
        <v>2904</v>
      </c>
      <c r="C82" s="579">
        <f>'[4]HMO + PACE'!C200</f>
        <v>379</v>
      </c>
      <c r="D82" s="579">
        <f>'[4]HMO + PACE'!D200</f>
        <v>200</v>
      </c>
      <c r="E82" s="579">
        <f>'[4]HMO + PACE'!E200</f>
        <v>0</v>
      </c>
      <c r="F82" s="579">
        <f>'[4]HMO + PACE'!F200</f>
        <v>0</v>
      </c>
      <c r="G82" s="870">
        <f>'[4]HMO + PACE'!G200+'[4]HMO + PACE'!H200</f>
        <v>0</v>
      </c>
      <c r="H82" s="870"/>
      <c r="I82" s="579">
        <f>'[4]HMO + PACE'!I200</f>
        <v>0</v>
      </c>
      <c r="J82" s="579">
        <f>'[4]HMO + PACE'!J200</f>
        <v>0</v>
      </c>
      <c r="K82" s="579">
        <f>'[4]HMO + PACE'!K200</f>
        <v>0</v>
      </c>
      <c r="L82" s="579">
        <f>'[4]HMO + PACE'!L200</f>
        <v>0</v>
      </c>
      <c r="M82" s="579">
        <f>'[4]HMO + PACE'!M200</f>
        <v>0</v>
      </c>
      <c r="N82" s="579">
        <f>'[4]HMO + PACE'!N200</f>
        <v>0</v>
      </c>
      <c r="O82" s="579">
        <f>'[4]HMO + PACE'!O200</f>
        <v>0</v>
      </c>
      <c r="P82" s="579">
        <f>'[4]HMO + PACE'!P200</f>
        <v>0</v>
      </c>
      <c r="Q82" s="581">
        <f>'[4]HMO + PACE'!Q200</f>
        <v>3483</v>
      </c>
      <c r="R82" s="56" t="b">
        <f t="shared" si="17"/>
        <v>1</v>
      </c>
    </row>
    <row r="83" spans="1:20" ht="15.75" x14ac:dyDescent="0.2">
      <c r="A83" s="217">
        <f t="shared" si="16"/>
        <v>42826</v>
      </c>
      <c r="B83" s="579">
        <f>'[4]HMO + PACE'!B201</f>
        <v>2949</v>
      </c>
      <c r="C83" s="579">
        <f>'[4]HMO + PACE'!C201</f>
        <v>378</v>
      </c>
      <c r="D83" s="579">
        <f>'[4]HMO + PACE'!D201</f>
        <v>203</v>
      </c>
      <c r="E83" s="579">
        <f>'[4]HMO + PACE'!E201</f>
        <v>0</v>
      </c>
      <c r="F83" s="579">
        <f>'[4]HMO + PACE'!F201</f>
        <v>0</v>
      </c>
      <c r="G83" s="870">
        <f>'[4]HMO + PACE'!G201+'[4]HMO + PACE'!H201</f>
        <v>0</v>
      </c>
      <c r="H83" s="870"/>
      <c r="I83" s="579">
        <f>'[4]HMO + PACE'!I201</f>
        <v>0</v>
      </c>
      <c r="J83" s="579">
        <f>'[4]HMO + PACE'!J201</f>
        <v>0</v>
      </c>
      <c r="K83" s="579">
        <f>'[4]HMO + PACE'!K201</f>
        <v>0</v>
      </c>
      <c r="L83" s="579">
        <f>'[4]HMO + PACE'!L201</f>
        <v>0</v>
      </c>
      <c r="M83" s="579">
        <f>'[4]HMO + PACE'!M201</f>
        <v>0</v>
      </c>
      <c r="N83" s="579">
        <f>'[4]HMO + PACE'!N201</f>
        <v>0</v>
      </c>
      <c r="O83" s="579">
        <f>'[4]HMO + PACE'!O201</f>
        <v>0</v>
      </c>
      <c r="P83" s="579">
        <f>'[4]HMO + PACE'!P201</f>
        <v>0</v>
      </c>
      <c r="Q83" s="581">
        <f>'[4]HMO + PACE'!Q201</f>
        <v>3530</v>
      </c>
      <c r="R83" s="56" t="b">
        <f t="shared" si="17"/>
        <v>1</v>
      </c>
    </row>
    <row r="84" spans="1:20" ht="15.75" x14ac:dyDescent="0.2">
      <c r="A84" s="217">
        <f t="shared" si="16"/>
        <v>42856</v>
      </c>
      <c r="B84" s="579">
        <f>'[4]HMO + PACE'!B202</f>
        <v>2957</v>
      </c>
      <c r="C84" s="579">
        <f>'[4]HMO + PACE'!C202</f>
        <v>383</v>
      </c>
      <c r="D84" s="579">
        <f>'[4]HMO + PACE'!D202</f>
        <v>198</v>
      </c>
      <c r="E84" s="579">
        <f>'[4]HMO + PACE'!E202</f>
        <v>0</v>
      </c>
      <c r="F84" s="579">
        <f>'[4]HMO + PACE'!F202</f>
        <v>0</v>
      </c>
      <c r="G84" s="870">
        <f>'[4]HMO + PACE'!G202+'[4]HMO + PACE'!H202</f>
        <v>0</v>
      </c>
      <c r="H84" s="870"/>
      <c r="I84" s="579">
        <f>'[4]HMO + PACE'!I202</f>
        <v>0</v>
      </c>
      <c r="J84" s="579">
        <f>'[4]HMO + PACE'!J202</f>
        <v>0</v>
      </c>
      <c r="K84" s="579">
        <f>'[4]HMO + PACE'!K202</f>
        <v>0</v>
      </c>
      <c r="L84" s="579">
        <f>'[4]HMO + PACE'!L202</f>
        <v>0</v>
      </c>
      <c r="M84" s="579">
        <f>'[4]HMO + PACE'!M202</f>
        <v>0</v>
      </c>
      <c r="N84" s="579">
        <f>'[4]HMO + PACE'!N202</f>
        <v>0</v>
      </c>
      <c r="O84" s="579">
        <f>'[4]HMO + PACE'!O202</f>
        <v>0</v>
      </c>
      <c r="P84" s="579">
        <f>'[4]HMO + PACE'!P202</f>
        <v>0</v>
      </c>
      <c r="Q84" s="581">
        <f>'[4]HMO + PACE'!Q202</f>
        <v>3538</v>
      </c>
      <c r="R84" s="56" t="b">
        <f t="shared" si="17"/>
        <v>1</v>
      </c>
    </row>
    <row r="85" spans="1:20" ht="16.5" thickBot="1" x14ac:dyDescent="0.25">
      <c r="A85" s="273">
        <f t="shared" si="16"/>
        <v>42887</v>
      </c>
      <c r="B85" s="603">
        <f>'[4]HMO + PACE'!B203</f>
        <v>2947</v>
      </c>
      <c r="C85" s="603">
        <f>'[4]HMO + PACE'!C203</f>
        <v>388</v>
      </c>
      <c r="D85" s="603">
        <f>'[4]HMO + PACE'!D203</f>
        <v>203</v>
      </c>
      <c r="E85" s="603">
        <f>'[4]HMO + PACE'!E203</f>
        <v>0</v>
      </c>
      <c r="F85" s="603">
        <f>'[4]HMO + PACE'!F203</f>
        <v>0</v>
      </c>
      <c r="G85" s="872">
        <f>'[4]HMO + PACE'!G203+'[4]HMO + PACE'!H203</f>
        <v>0</v>
      </c>
      <c r="H85" s="872"/>
      <c r="I85" s="603">
        <f>'[4]HMO + PACE'!I203</f>
        <v>0</v>
      </c>
      <c r="J85" s="603">
        <f>'[4]HMO + PACE'!J203</f>
        <v>0</v>
      </c>
      <c r="K85" s="603">
        <f>'[4]HMO + PACE'!K203</f>
        <v>0</v>
      </c>
      <c r="L85" s="603">
        <f>'[4]HMO + PACE'!L203</f>
        <v>0</v>
      </c>
      <c r="M85" s="603">
        <f>'[4]HMO + PACE'!M203</f>
        <v>0</v>
      </c>
      <c r="N85" s="603">
        <f>'[4]HMO + PACE'!N203</f>
        <v>0</v>
      </c>
      <c r="O85" s="603">
        <f>'[4]HMO + PACE'!O203</f>
        <v>0</v>
      </c>
      <c r="P85" s="603">
        <f>'[4]HMO + PACE'!P203</f>
        <v>0</v>
      </c>
      <c r="Q85" s="604">
        <f>'[4]HMO + PACE'!Q203</f>
        <v>3538</v>
      </c>
      <c r="R85" s="56" t="b">
        <f t="shared" si="17"/>
        <v>1</v>
      </c>
      <c r="S85" s="278">
        <f>B44+B72+B86</f>
        <v>6523</v>
      </c>
      <c r="T85" s="278" t="b">
        <f>ROUND(Q86,0)=ROUND(SUM(B86:P86),0)</f>
        <v>1</v>
      </c>
    </row>
    <row r="86" spans="1:20" ht="17.25" thickTop="1" thickBot="1" x14ac:dyDescent="0.3">
      <c r="A86" s="225" t="str">
        <f t="shared" si="16"/>
        <v>FY 2016-17 Year-to-Date Average</v>
      </c>
      <c r="B86" s="5">
        <f>ROUND(+AVERAGE(B74:B85),0)</f>
        <v>2420</v>
      </c>
      <c r="C86" s="5">
        <f>ROUND(+AVERAGE(C74:C85),0)</f>
        <v>328</v>
      </c>
      <c r="D86" s="5">
        <f t="shared" ref="D86:P86" si="18">ROUND(+AVERAGE(D74:D85),0)</f>
        <v>167</v>
      </c>
      <c r="E86" s="5">
        <f t="shared" si="18"/>
        <v>0</v>
      </c>
      <c r="F86" s="5">
        <f t="shared" si="18"/>
        <v>0</v>
      </c>
      <c r="G86" s="870">
        <f>ROUND(AVERAGE((G74+H74),(G75+H75),(G76+H76),(G77+H77),(G78+H78),(G79+H79),(G80+H80),(G81+H81),G82,G83,G84,G85),0)</f>
        <v>0</v>
      </c>
      <c r="H86" s="870"/>
      <c r="I86" s="5">
        <f t="shared" si="18"/>
        <v>0</v>
      </c>
      <c r="J86" s="5">
        <f t="shared" si="18"/>
        <v>0</v>
      </c>
      <c r="K86" s="5">
        <f t="shared" si="18"/>
        <v>0</v>
      </c>
      <c r="L86" s="5">
        <f t="shared" si="18"/>
        <v>0</v>
      </c>
      <c r="M86" s="5">
        <f t="shared" si="18"/>
        <v>0</v>
      </c>
      <c r="N86" s="5">
        <f t="shared" si="18"/>
        <v>0</v>
      </c>
      <c r="O86" s="5">
        <f t="shared" si="18"/>
        <v>0</v>
      </c>
      <c r="P86" s="5">
        <f t="shared" si="18"/>
        <v>0</v>
      </c>
      <c r="Q86" s="226">
        <f>ROUND(SUM(B86:P86),0)</f>
        <v>2915</v>
      </c>
      <c r="R86" s="56" t="b">
        <f t="shared" si="17"/>
        <v>1</v>
      </c>
      <c r="S86" s="5" t="b">
        <f>Q86=ROUND(AVERAGE(Q74:Q85),0)</f>
        <v>1</v>
      </c>
    </row>
    <row r="87" spans="1:20" ht="62.25" hidden="1" customHeight="1" thickBot="1" x14ac:dyDescent="0.25">
      <c r="A87" s="270"/>
      <c r="B87" s="271" t="s">
        <v>150</v>
      </c>
      <c r="C87" s="271" t="s">
        <v>151</v>
      </c>
      <c r="D87" s="271" t="s">
        <v>152</v>
      </c>
      <c r="E87" s="271" t="s">
        <v>103</v>
      </c>
      <c r="F87" s="271" t="s">
        <v>153</v>
      </c>
      <c r="G87" s="271" t="s">
        <v>154</v>
      </c>
      <c r="H87" s="271" t="s">
        <v>155</v>
      </c>
      <c r="I87" s="271" t="s">
        <v>19</v>
      </c>
      <c r="J87" s="271" t="s">
        <v>160</v>
      </c>
      <c r="K87" s="271" t="s">
        <v>156</v>
      </c>
      <c r="L87" s="271" t="s">
        <v>20</v>
      </c>
      <c r="M87" s="271" t="s">
        <v>157</v>
      </c>
      <c r="N87" s="271" t="s">
        <v>158</v>
      </c>
      <c r="O87" s="271" t="s">
        <v>159</v>
      </c>
      <c r="P87" s="271" t="s">
        <v>32</v>
      </c>
      <c r="Q87" s="272" t="s">
        <v>0</v>
      </c>
      <c r="R87" s="323"/>
    </row>
    <row r="88" spans="1:20" ht="19.5" thickBot="1" x14ac:dyDescent="0.25">
      <c r="A88" s="382" t="s">
        <v>332</v>
      </c>
      <c r="B88" s="383"/>
      <c r="C88" s="383"/>
      <c r="D88" s="383"/>
      <c r="E88" s="383"/>
      <c r="F88" s="383"/>
      <c r="G88" s="383"/>
      <c r="H88" s="383"/>
      <c r="I88" s="383"/>
      <c r="J88" s="383"/>
      <c r="K88" s="383"/>
      <c r="L88" s="383"/>
      <c r="M88" s="383"/>
      <c r="N88" s="383"/>
      <c r="O88" s="383"/>
      <c r="P88" s="383"/>
      <c r="Q88" s="384"/>
      <c r="R88" s="324"/>
    </row>
    <row r="89" spans="1:20" ht="15.75" x14ac:dyDescent="0.2">
      <c r="A89" s="223">
        <f>A4</f>
        <v>42552</v>
      </c>
      <c r="B89" s="212">
        <f>[4]ACC!B90</f>
        <v>18857</v>
      </c>
      <c r="C89" s="212">
        <f>[4]ACC!C90</f>
        <v>7311</v>
      </c>
      <c r="D89" s="212">
        <f>[4]ACC!D90</f>
        <v>51193</v>
      </c>
      <c r="E89" s="212">
        <f>[4]ACC!E90</f>
        <v>2365</v>
      </c>
      <c r="F89" s="212">
        <f>[4]ACC!F90</f>
        <v>118404</v>
      </c>
      <c r="G89" s="212">
        <f>[4]ACC!G90</f>
        <v>66299</v>
      </c>
      <c r="H89" s="212">
        <f>[4]ACC!H90</f>
        <v>274332</v>
      </c>
      <c r="I89" s="212">
        <f>[4]ACC!I90</f>
        <v>133</v>
      </c>
      <c r="J89" s="212">
        <f>[4]ACC!J90</f>
        <v>380671</v>
      </c>
      <c r="K89" s="212">
        <f>[4]ACC!K90</f>
        <v>52565</v>
      </c>
      <c r="L89" s="212">
        <f>[4]ACC!L90</f>
        <v>16936</v>
      </c>
      <c r="M89" s="212">
        <f>[4]ACC!M90</f>
        <v>8814</v>
      </c>
      <c r="N89" s="212">
        <f>[4]ACC!N90</f>
        <v>1198</v>
      </c>
      <c r="O89" s="212">
        <f>[4]ACC!O90</f>
        <v>0</v>
      </c>
      <c r="P89" s="212">
        <f>[4]ACC!P90</f>
        <v>37</v>
      </c>
      <c r="Q89" s="224">
        <f>[4]ACC!Q90</f>
        <v>999115</v>
      </c>
      <c r="R89" s="56" t="b">
        <f>SUM(B89:P89)=Q89</f>
        <v>1</v>
      </c>
    </row>
    <row r="90" spans="1:20" ht="15.75" x14ac:dyDescent="0.2">
      <c r="A90" s="217">
        <f t="shared" ref="A90:A101" si="19">A5</f>
        <v>42583</v>
      </c>
      <c r="B90" s="3">
        <f>[4]ACC!B91</f>
        <v>19276</v>
      </c>
      <c r="C90" s="3">
        <f>[4]ACC!C91</f>
        <v>7420</v>
      </c>
      <c r="D90" s="3">
        <f>[4]ACC!D91</f>
        <v>51691</v>
      </c>
      <c r="E90" s="3">
        <f>[4]ACC!E91</f>
        <v>2421</v>
      </c>
      <c r="F90" s="3">
        <f>[4]ACC!F91</f>
        <v>117794</v>
      </c>
      <c r="G90" s="3">
        <f>[4]ACC!G91</f>
        <v>65835</v>
      </c>
      <c r="H90" s="3">
        <f>[4]ACC!H91</f>
        <v>277676</v>
      </c>
      <c r="I90" s="3">
        <f>[4]ACC!I91</f>
        <v>128</v>
      </c>
      <c r="J90" s="3">
        <f>[4]ACC!J91</f>
        <v>380130</v>
      </c>
      <c r="K90" s="3">
        <f>[4]ACC!K91</f>
        <v>52989</v>
      </c>
      <c r="L90" s="3">
        <f>[4]ACC!L91</f>
        <v>17000</v>
      </c>
      <c r="M90" s="3">
        <f>[4]ACC!M91</f>
        <v>8839</v>
      </c>
      <c r="N90" s="3">
        <f>[4]ACC!N91</f>
        <v>1205</v>
      </c>
      <c r="O90" s="3">
        <f>[4]ACC!O91</f>
        <v>0</v>
      </c>
      <c r="P90" s="3">
        <f>[4]ACC!P91</f>
        <v>38</v>
      </c>
      <c r="Q90" s="218">
        <f>[4]ACC!Q91</f>
        <v>1002442</v>
      </c>
      <c r="R90" s="56" t="b">
        <f t="shared" ref="R90:R101" si="20">SUM(B90:P90)=Q90</f>
        <v>1</v>
      </c>
    </row>
    <row r="91" spans="1:20" ht="15.75" x14ac:dyDescent="0.2">
      <c r="A91" s="217">
        <f t="shared" si="19"/>
        <v>42614</v>
      </c>
      <c r="B91" s="3">
        <f>[4]ACC!B92</f>
        <v>19562</v>
      </c>
      <c r="C91" s="3">
        <f>[4]ACC!C92</f>
        <v>7449</v>
      </c>
      <c r="D91" s="3">
        <f>[4]ACC!D92</f>
        <v>51814</v>
      </c>
      <c r="E91" s="3">
        <f>[4]ACC!E92</f>
        <v>2469</v>
      </c>
      <c r="F91" s="3">
        <f>[4]ACC!F92</f>
        <v>117155</v>
      </c>
      <c r="G91" s="3">
        <f>[4]ACC!G92</f>
        <v>65632</v>
      </c>
      <c r="H91" s="3">
        <f>[4]ACC!H92</f>
        <v>285162</v>
      </c>
      <c r="I91" s="3">
        <f>[4]ACC!I92</f>
        <v>124</v>
      </c>
      <c r="J91" s="3">
        <f>[4]ACC!J92</f>
        <v>378867</v>
      </c>
      <c r="K91" s="3">
        <f>[4]ACC!K92</f>
        <v>53104</v>
      </c>
      <c r="L91" s="3">
        <f>[4]ACC!L92</f>
        <v>17087</v>
      </c>
      <c r="M91" s="3">
        <f>[4]ACC!M92</f>
        <v>8590</v>
      </c>
      <c r="N91" s="3">
        <f>[4]ACC!N92</f>
        <v>1132</v>
      </c>
      <c r="O91" s="3">
        <f>[4]ACC!O92</f>
        <v>0</v>
      </c>
      <c r="P91" s="3">
        <f>[4]ACC!P92</f>
        <v>19</v>
      </c>
      <c r="Q91" s="218">
        <f>[4]ACC!Q92</f>
        <v>1008166</v>
      </c>
      <c r="R91" s="56" t="b">
        <f t="shared" si="20"/>
        <v>1</v>
      </c>
    </row>
    <row r="92" spans="1:20" ht="15.75" x14ac:dyDescent="0.2">
      <c r="A92" s="217">
        <f t="shared" si="19"/>
        <v>42644</v>
      </c>
      <c r="B92" s="3">
        <f>[4]ACC!B93</f>
        <v>19381</v>
      </c>
      <c r="C92" s="3">
        <f>[4]ACC!C93</f>
        <v>7483</v>
      </c>
      <c r="D92" s="3">
        <f>[4]ACC!D93</f>
        <v>51592</v>
      </c>
      <c r="E92" s="3">
        <f>[4]ACC!E93</f>
        <v>2558</v>
      </c>
      <c r="F92" s="3">
        <f>[4]ACC!F93</f>
        <v>117616</v>
      </c>
      <c r="G92" s="3">
        <f>[4]ACC!G93</f>
        <v>62682</v>
      </c>
      <c r="H92" s="3">
        <f>[4]ACC!H93</f>
        <v>282016</v>
      </c>
      <c r="I92" s="3">
        <f>[4]ACC!I93</f>
        <v>122</v>
      </c>
      <c r="J92" s="3">
        <f>[4]ACC!J93</f>
        <v>378127</v>
      </c>
      <c r="K92" s="3">
        <f>[4]ACC!K93</f>
        <v>53055</v>
      </c>
      <c r="L92" s="3">
        <f>[4]ACC!L93</f>
        <v>17131</v>
      </c>
      <c r="M92" s="3">
        <f>[4]ACC!M93</f>
        <v>8300</v>
      </c>
      <c r="N92" s="3">
        <f>[4]ACC!N93</f>
        <v>1127</v>
      </c>
      <c r="O92" s="3">
        <f>[4]ACC!O93</f>
        <v>0</v>
      </c>
      <c r="P92" s="3">
        <f>[4]ACC!P93</f>
        <v>25</v>
      </c>
      <c r="Q92" s="218">
        <f>[4]ACC!Q93</f>
        <v>1001215</v>
      </c>
      <c r="R92" s="56" t="b">
        <f t="shared" si="20"/>
        <v>1</v>
      </c>
    </row>
    <row r="93" spans="1:20" ht="15.75" x14ac:dyDescent="0.2">
      <c r="A93" s="217">
        <f t="shared" si="19"/>
        <v>42675</v>
      </c>
      <c r="B93" s="3">
        <f>[4]ACC!B94</f>
        <v>19879</v>
      </c>
      <c r="C93" s="3">
        <f>[4]ACC!C94</f>
        <v>7640</v>
      </c>
      <c r="D93" s="3">
        <f>[4]ACC!D94</f>
        <v>51818</v>
      </c>
      <c r="E93" s="3">
        <f>[4]ACC!E94</f>
        <v>2559</v>
      </c>
      <c r="F93" s="3">
        <f>[4]ACC!F94</f>
        <v>121100</v>
      </c>
      <c r="G93" s="3">
        <f>[4]ACC!G94</f>
        <v>64300</v>
      </c>
      <c r="H93" s="3">
        <f>[4]ACC!H94</f>
        <v>284281</v>
      </c>
      <c r="I93" s="3">
        <f>[4]ACC!I94</f>
        <v>119</v>
      </c>
      <c r="J93" s="3">
        <f>[4]ACC!J94</f>
        <v>382017</v>
      </c>
      <c r="K93" s="3">
        <f>[4]ACC!K94</f>
        <v>50353</v>
      </c>
      <c r="L93" s="3">
        <f>[4]ACC!L94</f>
        <v>17215</v>
      </c>
      <c r="M93" s="3">
        <f>[4]ACC!M94</f>
        <v>8326</v>
      </c>
      <c r="N93" s="3">
        <f>[4]ACC!N94</f>
        <v>1113</v>
      </c>
      <c r="O93" s="3">
        <f>[4]ACC!O94</f>
        <v>1</v>
      </c>
      <c r="P93" s="3">
        <f>[4]ACC!P94</f>
        <v>27</v>
      </c>
      <c r="Q93" s="218">
        <f>[4]ACC!Q94</f>
        <v>1010748</v>
      </c>
      <c r="R93" s="56" t="b">
        <f t="shared" si="20"/>
        <v>1</v>
      </c>
    </row>
    <row r="94" spans="1:20" ht="15.75" x14ac:dyDescent="0.2">
      <c r="A94" s="217">
        <f t="shared" si="19"/>
        <v>42705</v>
      </c>
      <c r="B94" s="3">
        <f>[4]ACC!B95</f>
        <v>19760</v>
      </c>
      <c r="C94" s="3">
        <f>[4]ACC!C95</f>
        <v>7654</v>
      </c>
      <c r="D94" s="3">
        <f>[4]ACC!D95</f>
        <v>51686</v>
      </c>
      <c r="E94" s="3">
        <f>[4]ACC!E95</f>
        <v>2591</v>
      </c>
      <c r="F94" s="3">
        <f>[4]ACC!F95</f>
        <v>121895</v>
      </c>
      <c r="G94" s="3">
        <f>[4]ACC!G95</f>
        <v>64798</v>
      </c>
      <c r="H94" s="3">
        <f>[4]ACC!H95</f>
        <v>286345</v>
      </c>
      <c r="I94" s="3">
        <f>[4]ACC!I95</f>
        <v>117</v>
      </c>
      <c r="J94" s="3">
        <f>[4]ACC!J95</f>
        <v>380067</v>
      </c>
      <c r="K94" s="3">
        <f>[4]ACC!K95</f>
        <v>50775</v>
      </c>
      <c r="L94" s="3">
        <f>[4]ACC!L95</f>
        <v>17269</v>
      </c>
      <c r="M94" s="3">
        <f>[4]ACC!M95</f>
        <v>8034</v>
      </c>
      <c r="N94" s="3">
        <f>[4]ACC!N95</f>
        <v>1090</v>
      </c>
      <c r="O94" s="3">
        <f>[4]ACC!O95</f>
        <v>1</v>
      </c>
      <c r="P94" s="3">
        <f>[4]ACC!P95</f>
        <v>25</v>
      </c>
      <c r="Q94" s="218">
        <f>[4]ACC!Q95</f>
        <v>1012107</v>
      </c>
      <c r="R94" s="56" t="b">
        <f t="shared" si="20"/>
        <v>1</v>
      </c>
    </row>
    <row r="95" spans="1:20" ht="15.75" x14ac:dyDescent="0.2">
      <c r="A95" s="217">
        <f t="shared" si="19"/>
        <v>42736</v>
      </c>
      <c r="B95" s="3">
        <f>[4]ACC!B96</f>
        <v>19818</v>
      </c>
      <c r="C95" s="3">
        <f>[4]ACC!C96</f>
        <v>7770</v>
      </c>
      <c r="D95" s="3">
        <f>[4]ACC!D96</f>
        <v>51792</v>
      </c>
      <c r="E95" s="3">
        <f>[4]ACC!E96</f>
        <v>2642</v>
      </c>
      <c r="F95" s="3">
        <f>[4]ACC!F96</f>
        <v>122401</v>
      </c>
      <c r="G95" s="3">
        <f>[4]ACC!G96</f>
        <v>60141</v>
      </c>
      <c r="H95" s="3">
        <f>[4]ACC!H96</f>
        <v>283640</v>
      </c>
      <c r="I95" s="3">
        <f>[4]ACC!I96</f>
        <v>113</v>
      </c>
      <c r="J95" s="3">
        <f>[4]ACC!J96</f>
        <v>378246</v>
      </c>
      <c r="K95" s="3">
        <f>[4]ACC!K96</f>
        <v>52280</v>
      </c>
      <c r="L95" s="3">
        <f>[4]ACC!L96</f>
        <v>17242</v>
      </c>
      <c r="M95" s="3">
        <f>[4]ACC!M96</f>
        <v>7839</v>
      </c>
      <c r="N95" s="3">
        <f>[4]ACC!N96</f>
        <v>1083</v>
      </c>
      <c r="O95" s="3">
        <f>[4]ACC!O96</f>
        <v>2</v>
      </c>
      <c r="P95" s="3">
        <f>[4]ACC!P96</f>
        <v>24</v>
      </c>
      <c r="Q95" s="218">
        <f>[4]ACC!Q96</f>
        <v>1005033</v>
      </c>
      <c r="R95" s="56" t="b">
        <f t="shared" si="20"/>
        <v>1</v>
      </c>
    </row>
    <row r="96" spans="1:20" ht="15.75" x14ac:dyDescent="0.2">
      <c r="A96" s="217">
        <f t="shared" si="19"/>
        <v>42767</v>
      </c>
      <c r="B96" s="3">
        <f>[4]ACC!B97</f>
        <v>20050</v>
      </c>
      <c r="C96" s="3">
        <f>[4]ACC!C97</f>
        <v>7800</v>
      </c>
      <c r="D96" s="3">
        <f>[4]ACC!D97</f>
        <v>51867</v>
      </c>
      <c r="E96" s="3">
        <f>[4]ACC!E97</f>
        <v>2701</v>
      </c>
      <c r="F96" s="3">
        <f>[4]ACC!F97</f>
        <v>124548</v>
      </c>
      <c r="G96" s="3">
        <f>[4]ACC!G97</f>
        <v>60140</v>
      </c>
      <c r="H96" s="3">
        <f>[4]ACC!H97</f>
        <v>286779</v>
      </c>
      <c r="I96" s="3">
        <f>[4]ACC!I97</f>
        <v>110</v>
      </c>
      <c r="J96" s="3">
        <f>[4]ACC!J97</f>
        <v>379659</v>
      </c>
      <c r="K96" s="3">
        <f>[4]ACC!K97</f>
        <v>52589</v>
      </c>
      <c r="L96" s="3">
        <f>[4]ACC!L97</f>
        <v>17307</v>
      </c>
      <c r="M96" s="3">
        <f>[4]ACC!M97</f>
        <v>7828</v>
      </c>
      <c r="N96" s="3">
        <f>[4]ACC!N97</f>
        <v>1129</v>
      </c>
      <c r="O96" s="3">
        <f>[4]ACC!O97</f>
        <v>40</v>
      </c>
      <c r="P96" s="3">
        <f>[4]ACC!P97</f>
        <v>5</v>
      </c>
      <c r="Q96" s="218">
        <f>[4]ACC!Q97</f>
        <v>1012552</v>
      </c>
      <c r="R96" s="56" t="b">
        <f t="shared" si="20"/>
        <v>1</v>
      </c>
    </row>
    <row r="97" spans="1:20" ht="15.75" x14ac:dyDescent="0.2">
      <c r="A97" s="217">
        <f t="shared" si="19"/>
        <v>42795</v>
      </c>
      <c r="B97" s="579">
        <f>[4]ACC!B98</f>
        <v>20295</v>
      </c>
      <c r="C97" s="579">
        <f>[4]ACC!C98</f>
        <v>7848</v>
      </c>
      <c r="D97" s="579">
        <f>[4]ACC!D98</f>
        <v>51768</v>
      </c>
      <c r="E97" s="579">
        <f>[4]ACC!E98</f>
        <v>2907</v>
      </c>
      <c r="F97" s="579">
        <f>[4]ACC!F98</f>
        <v>129860</v>
      </c>
      <c r="G97" s="869">
        <f>[4]ACC!G98+[4]ACC!H98</f>
        <v>352257</v>
      </c>
      <c r="H97" s="869"/>
      <c r="I97" s="579">
        <f>[4]ACC!I98</f>
        <v>116</v>
      </c>
      <c r="J97" s="579">
        <f>[4]ACC!J98</f>
        <v>381930</v>
      </c>
      <c r="K97" s="579">
        <f>[4]ACC!K98</f>
        <v>54333</v>
      </c>
      <c r="L97" s="579">
        <f>[4]ACC!L98</f>
        <v>17013</v>
      </c>
      <c r="M97" s="579">
        <f>[4]ACC!M98</f>
        <v>8246</v>
      </c>
      <c r="N97" s="579">
        <f>[4]ACC!N98</f>
        <v>1323</v>
      </c>
      <c r="O97" s="579">
        <f>[4]ACC!O98</f>
        <v>0</v>
      </c>
      <c r="P97" s="579">
        <f>[4]ACC!P98</f>
        <v>0</v>
      </c>
      <c r="Q97" s="581">
        <f>[4]ACC!Q98</f>
        <v>1027896</v>
      </c>
      <c r="R97" s="56" t="b">
        <f t="shared" si="20"/>
        <v>1</v>
      </c>
    </row>
    <row r="98" spans="1:20" ht="15.75" x14ac:dyDescent="0.2">
      <c r="A98" s="217">
        <f t="shared" si="19"/>
        <v>42826</v>
      </c>
      <c r="B98" s="579">
        <f>[4]ACC!B99</f>
        <v>20600</v>
      </c>
      <c r="C98" s="579">
        <f>[4]ACC!C99</f>
        <v>7833</v>
      </c>
      <c r="D98" s="579">
        <f>[4]ACC!D99</f>
        <v>51198</v>
      </c>
      <c r="E98" s="579">
        <f>[4]ACC!E99</f>
        <v>2829</v>
      </c>
      <c r="F98" s="579">
        <f>[4]ACC!F99</f>
        <v>134977</v>
      </c>
      <c r="G98" s="869">
        <f>[4]ACC!G99+[4]ACC!H99</f>
        <v>343766</v>
      </c>
      <c r="H98" s="869"/>
      <c r="I98" s="579">
        <f>[4]ACC!I99</f>
        <v>114</v>
      </c>
      <c r="J98" s="579">
        <f>[4]ACC!J99</f>
        <v>377526</v>
      </c>
      <c r="K98" s="579">
        <f>[4]ACC!K99</f>
        <v>53119</v>
      </c>
      <c r="L98" s="579">
        <f>[4]ACC!L99</f>
        <v>16955</v>
      </c>
      <c r="M98" s="579">
        <f>[4]ACC!M99</f>
        <v>7865</v>
      </c>
      <c r="N98" s="579">
        <f>[4]ACC!N99</f>
        <v>1226</v>
      </c>
      <c r="O98" s="579">
        <f>[4]ACC!O99</f>
        <v>0</v>
      </c>
      <c r="P98" s="579">
        <f>[4]ACC!P99</f>
        <v>0</v>
      </c>
      <c r="Q98" s="581">
        <f>[4]ACC!Q99</f>
        <v>1018008</v>
      </c>
      <c r="R98" s="56" t="b">
        <f t="shared" si="20"/>
        <v>1</v>
      </c>
    </row>
    <row r="99" spans="1:20" ht="15.75" x14ac:dyDescent="0.2">
      <c r="A99" s="217">
        <f t="shared" si="19"/>
        <v>42856</v>
      </c>
      <c r="B99" s="579">
        <f>[4]ACC!B100</f>
        <v>28293</v>
      </c>
      <c r="C99" s="579">
        <f>[4]ACC!C100</f>
        <v>8543</v>
      </c>
      <c r="D99" s="579">
        <f>[4]ACC!D100</f>
        <v>54389</v>
      </c>
      <c r="E99" s="579">
        <f>[4]ACC!E100</f>
        <v>3725</v>
      </c>
      <c r="F99" s="579">
        <f>[4]ACC!F100</f>
        <v>143107</v>
      </c>
      <c r="G99" s="869">
        <f>[4]ACC!G100+[4]ACC!H100</f>
        <v>351183</v>
      </c>
      <c r="H99" s="869"/>
      <c r="I99" s="579">
        <f>[4]ACC!I100</f>
        <v>172</v>
      </c>
      <c r="J99" s="579">
        <f>[4]ACC!J100</f>
        <v>381941</v>
      </c>
      <c r="K99" s="579">
        <f>[4]ACC!K100</f>
        <v>54140</v>
      </c>
      <c r="L99" s="579">
        <f>[4]ACC!L100</f>
        <v>18852</v>
      </c>
      <c r="M99" s="579">
        <f>[4]ACC!M100</f>
        <v>8492</v>
      </c>
      <c r="N99" s="579">
        <f>[4]ACC!N100</f>
        <v>1313</v>
      </c>
      <c r="O99" s="579">
        <f>[4]ACC!O100</f>
        <v>0</v>
      </c>
      <c r="P99" s="579">
        <f>[4]ACC!P100</f>
        <v>0</v>
      </c>
      <c r="Q99" s="581">
        <f>[4]ACC!Q100</f>
        <v>1054150</v>
      </c>
      <c r="R99" s="56" t="b">
        <f t="shared" si="20"/>
        <v>1</v>
      </c>
    </row>
    <row r="100" spans="1:20" ht="16.5" thickBot="1" x14ac:dyDescent="0.25">
      <c r="A100" s="273">
        <f t="shared" si="19"/>
        <v>42887</v>
      </c>
      <c r="B100" s="603">
        <f>[4]ACC!B101</f>
        <v>25958</v>
      </c>
      <c r="C100" s="603">
        <f>[4]ACC!C101</f>
        <v>8422</v>
      </c>
      <c r="D100" s="603">
        <f>[4]ACC!D101</f>
        <v>54714</v>
      </c>
      <c r="E100" s="603">
        <f>[4]ACC!E101</f>
        <v>4236</v>
      </c>
      <c r="F100" s="603">
        <f>[4]ACC!F101</f>
        <v>147653</v>
      </c>
      <c r="G100" s="871">
        <f>[4]ACC!G101+[4]ACC!H101</f>
        <v>359738</v>
      </c>
      <c r="H100" s="871"/>
      <c r="I100" s="603">
        <f>[4]ACC!I101</f>
        <v>185</v>
      </c>
      <c r="J100" s="603">
        <f>[4]ACC!J101</f>
        <v>383494</v>
      </c>
      <c r="K100" s="603">
        <f>[4]ACC!K101</f>
        <v>53268</v>
      </c>
      <c r="L100" s="603">
        <f>[4]ACC!L101</f>
        <v>19066</v>
      </c>
      <c r="M100" s="603">
        <f>[4]ACC!M101</f>
        <v>8471</v>
      </c>
      <c r="N100" s="603">
        <f>[4]ACC!N101</f>
        <v>1343</v>
      </c>
      <c r="O100" s="603">
        <f>[4]ACC!O101</f>
        <v>1</v>
      </c>
      <c r="P100" s="603">
        <f>[4]ACC!P101</f>
        <v>0</v>
      </c>
      <c r="Q100" s="604">
        <f>[4]ACC!Q101</f>
        <v>1066549</v>
      </c>
      <c r="R100" s="56" t="b">
        <f t="shared" si="20"/>
        <v>1</v>
      </c>
      <c r="T100" s="278" t="b">
        <f>ROUND(Q101,0)=ROUND(SUM(B101:P101),0)</f>
        <v>1</v>
      </c>
    </row>
    <row r="101" spans="1:20" ht="17.25" thickTop="1" thickBot="1" x14ac:dyDescent="0.3">
      <c r="A101" s="225" t="str">
        <f t="shared" si="19"/>
        <v>FY 2016-17 Year-to-Date Average</v>
      </c>
      <c r="B101" s="5">
        <f>ROUND(+AVERAGE(B89:B100),0)</f>
        <v>20977</v>
      </c>
      <c r="C101" s="5">
        <f>ROUND(+AVERAGE(C89:C100),0)</f>
        <v>7764</v>
      </c>
      <c r="D101" s="5">
        <f>ROUND(+AVERAGE(D89:D100),0)</f>
        <v>52127</v>
      </c>
      <c r="E101" s="5">
        <f>ROUND(+AVERAGE(E89:E100),0)</f>
        <v>2834</v>
      </c>
      <c r="F101" s="5">
        <f>ROUNDDOWN(+AVERAGE(F89:F100),0)</f>
        <v>126375</v>
      </c>
      <c r="G101" s="879">
        <f>ROUNDDOWN(AVERAGE((G89+H89),(G90+H90),(G91+H91),(G92+H92),(G93+H93),(G94+H94),(G95+H95),(G96+H96),G97,G98,G99,G100),0)</f>
        <v>348083</v>
      </c>
      <c r="H101" s="879"/>
      <c r="I101" s="5">
        <f t="shared" ref="I101:O101" si="21">ROUND(+AVERAGE(I89:I100),0)</f>
        <v>129</v>
      </c>
      <c r="J101" s="5">
        <f>ROUND(+AVERAGE(J89:J100),0)</f>
        <v>380223</v>
      </c>
      <c r="K101" s="5">
        <f>ROUND(+AVERAGE(K89:K100),0)</f>
        <v>52714</v>
      </c>
      <c r="L101" s="5">
        <f t="shared" si="21"/>
        <v>17423</v>
      </c>
      <c r="M101" s="5">
        <f>ROUND(+AVERAGE(M89:M100),0)</f>
        <v>8304</v>
      </c>
      <c r="N101" s="5">
        <f>ROUND(+AVERAGE(N89:N100),0)</f>
        <v>1190</v>
      </c>
      <c r="O101" s="5">
        <f t="shared" si="21"/>
        <v>4</v>
      </c>
      <c r="P101" s="5">
        <f>ROUND(+AVERAGE(P89:P100),0)</f>
        <v>17</v>
      </c>
      <c r="Q101" s="226">
        <f>ROUND(SUM(B101:P101),0)</f>
        <v>1018164</v>
      </c>
      <c r="R101" s="56" t="b">
        <f t="shared" si="20"/>
        <v>1</v>
      </c>
      <c r="S101" s="5" t="b">
        <f>Q101=ROUND(AVERAGE(Q89:Q100),0)</f>
        <v>0</v>
      </c>
      <c r="T101" s="322"/>
    </row>
    <row r="102" spans="1:20" ht="13.5" hidden="1" thickBot="1" x14ac:dyDescent="0.25">
      <c r="A102" s="529"/>
      <c r="B102" s="324"/>
      <c r="C102" s="324"/>
      <c r="D102" s="324"/>
      <c r="E102" s="324"/>
      <c r="F102" s="324"/>
      <c r="G102" s="324"/>
      <c r="H102" s="324"/>
      <c r="I102" s="324"/>
      <c r="J102" s="324"/>
      <c r="K102" s="324"/>
      <c r="L102" s="324"/>
      <c r="M102" s="324"/>
      <c r="N102" s="324"/>
      <c r="O102" s="324"/>
      <c r="P102" s="324"/>
      <c r="Q102" s="530"/>
      <c r="R102" s="324"/>
    </row>
    <row r="103" spans="1:20" ht="13.5" hidden="1" thickBot="1" x14ac:dyDescent="0.25">
      <c r="A103" s="529"/>
      <c r="B103" s="324"/>
      <c r="C103" s="324"/>
      <c r="D103" s="324"/>
      <c r="E103" s="324"/>
      <c r="F103" s="324"/>
      <c r="G103" s="324"/>
      <c r="H103" s="324"/>
      <c r="I103" s="324"/>
      <c r="J103" s="324"/>
      <c r="K103" s="324"/>
      <c r="L103" s="324"/>
      <c r="M103" s="324"/>
      <c r="N103" s="324"/>
      <c r="O103" s="324"/>
      <c r="P103" s="324"/>
      <c r="Q103" s="530"/>
    </row>
    <row r="104" spans="1:20" ht="13.5" hidden="1" thickBot="1" x14ac:dyDescent="0.25">
      <c r="A104" s="529"/>
      <c r="B104" s="324"/>
      <c r="C104" s="324"/>
      <c r="D104" s="324"/>
      <c r="E104" s="324"/>
      <c r="F104" s="324"/>
      <c r="G104" s="324"/>
      <c r="H104" s="324"/>
      <c r="I104" s="324"/>
      <c r="J104" s="324"/>
      <c r="K104" s="324"/>
      <c r="L104" s="324"/>
      <c r="M104" s="324"/>
      <c r="N104" s="324"/>
      <c r="O104" s="324"/>
      <c r="P104" s="324"/>
      <c r="Q104" s="530"/>
    </row>
    <row r="105" spans="1:20" ht="13.5" hidden="1" thickBot="1" x14ac:dyDescent="0.25">
      <c r="A105" s="529"/>
      <c r="B105" s="324"/>
      <c r="C105" s="324"/>
      <c r="D105" s="324"/>
      <c r="E105" s="324"/>
      <c r="F105" s="324"/>
      <c r="G105" s="324"/>
      <c r="H105" s="324"/>
      <c r="I105" s="324"/>
      <c r="J105" s="324"/>
      <c r="K105" s="324"/>
      <c r="L105" s="324"/>
      <c r="M105" s="324"/>
      <c r="N105" s="324"/>
      <c r="O105" s="324"/>
      <c r="P105" s="324"/>
      <c r="Q105" s="530"/>
    </row>
    <row r="106" spans="1:20" ht="13.5" hidden="1" thickBot="1" x14ac:dyDescent="0.25">
      <c r="A106" s="529"/>
      <c r="B106" s="324"/>
      <c r="C106" s="324"/>
      <c r="D106" s="324"/>
      <c r="E106" s="324"/>
      <c r="F106" s="324"/>
      <c r="G106" s="324"/>
      <c r="H106" s="324"/>
      <c r="I106" s="324"/>
      <c r="J106" s="324"/>
      <c r="K106" s="324"/>
      <c r="L106" s="324"/>
      <c r="M106" s="324"/>
      <c r="N106" s="324"/>
      <c r="O106" s="324"/>
      <c r="P106" s="324"/>
      <c r="Q106" s="530"/>
    </row>
    <row r="107" spans="1:20" ht="13.5" hidden="1" thickBot="1" x14ac:dyDescent="0.25">
      <c r="A107" s="529"/>
      <c r="B107" s="324"/>
      <c r="C107" s="324"/>
      <c r="D107" s="324"/>
      <c r="E107" s="324"/>
      <c r="F107" s="324"/>
      <c r="G107" s="324"/>
      <c r="H107" s="324"/>
      <c r="I107" s="324"/>
      <c r="J107" s="324"/>
      <c r="K107" s="324"/>
      <c r="L107" s="324"/>
      <c r="M107" s="324"/>
      <c r="N107" s="324"/>
      <c r="O107" s="324"/>
      <c r="P107" s="324"/>
      <c r="Q107" s="530"/>
    </row>
    <row r="108" spans="1:20" ht="13.5" hidden="1" thickBot="1" x14ac:dyDescent="0.25">
      <c r="A108" s="529"/>
      <c r="B108" s="324"/>
      <c r="C108" s="324"/>
      <c r="D108" s="324"/>
      <c r="E108" s="324"/>
      <c r="F108" s="324"/>
      <c r="G108" s="324"/>
      <c r="H108" s="324"/>
      <c r="I108" s="324"/>
      <c r="J108" s="324"/>
      <c r="K108" s="324"/>
      <c r="L108" s="324"/>
      <c r="M108" s="324"/>
      <c r="N108" s="324"/>
      <c r="O108" s="324"/>
      <c r="P108" s="324"/>
      <c r="Q108" s="530"/>
    </row>
    <row r="109" spans="1:20" ht="13.5" hidden="1" thickBot="1" x14ac:dyDescent="0.25">
      <c r="A109" s="529"/>
      <c r="B109" s="324"/>
      <c r="C109" s="324"/>
      <c r="D109" s="324"/>
      <c r="E109" s="324"/>
      <c r="F109" s="324"/>
      <c r="G109" s="324"/>
      <c r="H109" s="324"/>
      <c r="I109" s="324"/>
      <c r="J109" s="324"/>
      <c r="K109" s="324"/>
      <c r="L109" s="324"/>
      <c r="M109" s="324"/>
      <c r="N109" s="324"/>
      <c r="O109" s="324"/>
      <c r="P109" s="324"/>
      <c r="Q109" s="530"/>
    </row>
    <row r="110" spans="1:20" ht="13.5" hidden="1" thickBot="1" x14ac:dyDescent="0.25">
      <c r="A110" s="529"/>
      <c r="B110" s="324"/>
      <c r="C110" s="324"/>
      <c r="D110" s="324"/>
      <c r="E110" s="324"/>
      <c r="F110" s="324"/>
      <c r="G110" s="324"/>
      <c r="H110" s="324"/>
      <c r="I110" s="324"/>
      <c r="J110" s="324"/>
      <c r="K110" s="324"/>
      <c r="L110" s="324"/>
      <c r="M110" s="324"/>
      <c r="N110" s="324"/>
      <c r="O110" s="324"/>
      <c r="P110" s="324"/>
      <c r="Q110" s="530"/>
    </row>
    <row r="111" spans="1:20" ht="13.5" hidden="1" thickBot="1" x14ac:dyDescent="0.25">
      <c r="A111" s="529"/>
      <c r="B111" s="324"/>
      <c r="C111" s="324"/>
      <c r="D111" s="324"/>
      <c r="E111" s="324"/>
      <c r="F111" s="324"/>
      <c r="G111" s="324"/>
      <c r="H111" s="324"/>
      <c r="I111" s="324"/>
      <c r="J111" s="324"/>
      <c r="K111" s="324"/>
      <c r="L111" s="324"/>
      <c r="M111" s="324"/>
      <c r="N111" s="324"/>
      <c r="O111" s="324"/>
      <c r="P111" s="324"/>
      <c r="Q111" s="530"/>
    </row>
    <row r="112" spans="1:20" ht="13.5" hidden="1" thickBot="1" x14ac:dyDescent="0.25">
      <c r="A112" s="529"/>
      <c r="B112" s="324"/>
      <c r="C112" s="324"/>
      <c r="D112" s="324"/>
      <c r="E112" s="324"/>
      <c r="F112" s="324"/>
      <c r="G112" s="324"/>
      <c r="H112" s="324"/>
      <c r="I112" s="324"/>
      <c r="J112" s="324"/>
      <c r="K112" s="324"/>
      <c r="L112" s="324"/>
      <c r="M112" s="324"/>
      <c r="N112" s="324"/>
      <c r="O112" s="324"/>
      <c r="P112" s="324"/>
      <c r="Q112" s="530"/>
    </row>
    <row r="113" spans="1:24" ht="13.5" hidden="1" thickBot="1" x14ac:dyDescent="0.25">
      <c r="A113" s="529"/>
      <c r="B113" s="324"/>
      <c r="C113" s="324"/>
      <c r="D113" s="324"/>
      <c r="E113" s="324"/>
      <c r="F113" s="324"/>
      <c r="G113" s="324"/>
      <c r="H113" s="324"/>
      <c r="I113" s="324"/>
      <c r="J113" s="324"/>
      <c r="K113" s="324"/>
      <c r="L113" s="324"/>
      <c r="M113" s="324"/>
      <c r="N113" s="324"/>
      <c r="O113" s="324"/>
      <c r="P113" s="324"/>
      <c r="Q113" s="530"/>
      <c r="X113" s="324"/>
    </row>
    <row r="114" spans="1:24" ht="13.5" hidden="1" thickBot="1" x14ac:dyDescent="0.25">
      <c r="A114" s="529"/>
      <c r="B114" s="324"/>
      <c r="C114" s="324"/>
      <c r="D114" s="324"/>
      <c r="E114" s="324"/>
      <c r="F114" s="324"/>
      <c r="G114" s="324"/>
      <c r="H114" s="324"/>
      <c r="I114" s="324"/>
      <c r="J114" s="324"/>
      <c r="K114" s="324"/>
      <c r="L114" s="324"/>
      <c r="M114" s="324"/>
      <c r="N114" s="324"/>
      <c r="O114" s="324"/>
      <c r="P114" s="324"/>
      <c r="Q114" s="530"/>
    </row>
    <row r="115" spans="1:24" ht="13.5" hidden="1" thickBot="1" x14ac:dyDescent="0.25">
      <c r="A115" s="529"/>
      <c r="B115" s="324"/>
      <c r="C115" s="324"/>
      <c r="D115" s="324"/>
      <c r="E115" s="324"/>
      <c r="F115" s="324"/>
      <c r="G115" s="324"/>
      <c r="H115" s="324"/>
      <c r="I115" s="324"/>
      <c r="J115" s="324"/>
      <c r="K115" s="324"/>
      <c r="L115" s="324"/>
      <c r="M115" s="324"/>
      <c r="N115" s="324"/>
      <c r="O115" s="324"/>
      <c r="P115" s="324"/>
      <c r="Q115" s="530"/>
    </row>
    <row r="116" spans="1:24" ht="15.75" x14ac:dyDescent="0.2">
      <c r="A116" s="709" t="s">
        <v>24</v>
      </c>
      <c r="B116" s="710"/>
      <c r="C116" s="710"/>
      <c r="D116" s="710"/>
      <c r="E116" s="710"/>
      <c r="F116" s="710"/>
      <c r="G116" s="710"/>
      <c r="H116" s="710"/>
      <c r="I116" s="710"/>
      <c r="J116" s="710"/>
      <c r="K116" s="710"/>
      <c r="L116" s="710"/>
      <c r="M116" s="710"/>
      <c r="N116" s="710"/>
      <c r="O116" s="710"/>
      <c r="P116" s="710"/>
      <c r="Q116" s="711"/>
      <c r="R116" s="56"/>
      <c r="S116" s="5"/>
      <c r="T116" s="322"/>
    </row>
    <row r="117" spans="1:24" ht="15.75" customHeight="1" x14ac:dyDescent="0.2">
      <c r="A117" s="712" t="s">
        <v>45</v>
      </c>
      <c r="B117" s="713"/>
      <c r="C117" s="713"/>
      <c r="D117" s="713"/>
      <c r="E117" s="713"/>
      <c r="F117" s="713"/>
      <c r="G117" s="713"/>
      <c r="H117" s="713"/>
      <c r="I117" s="713"/>
      <c r="J117" s="713"/>
      <c r="K117" s="713"/>
      <c r="L117" s="713"/>
      <c r="M117" s="713"/>
      <c r="N117" s="713"/>
      <c r="O117" s="713"/>
      <c r="P117" s="713"/>
      <c r="Q117" s="714"/>
      <c r="R117" s="56"/>
      <c r="S117" s="5"/>
      <c r="T117" s="322"/>
    </row>
    <row r="118" spans="1:24" ht="15.75" x14ac:dyDescent="0.2">
      <c r="A118" s="873" t="s">
        <v>336</v>
      </c>
      <c r="B118" s="874"/>
      <c r="C118" s="874"/>
      <c r="D118" s="874"/>
      <c r="E118" s="874"/>
      <c r="F118" s="874"/>
      <c r="G118" s="874"/>
      <c r="H118" s="874"/>
      <c r="I118" s="874"/>
      <c r="J118" s="874"/>
      <c r="K118" s="874"/>
      <c r="L118" s="874"/>
      <c r="M118" s="874"/>
      <c r="N118" s="874"/>
      <c r="O118" s="874"/>
      <c r="P118" s="874"/>
      <c r="Q118" s="875"/>
      <c r="R118" s="381" t="s">
        <v>293</v>
      </c>
      <c r="S118" s="5"/>
      <c r="T118" s="322"/>
    </row>
    <row r="119" spans="1:24" ht="15.75" x14ac:dyDescent="0.2">
      <c r="A119" s="876" t="s">
        <v>327</v>
      </c>
      <c r="B119" s="877"/>
      <c r="C119" s="877"/>
      <c r="D119" s="877"/>
      <c r="E119" s="877"/>
      <c r="F119" s="877"/>
      <c r="G119" s="877"/>
      <c r="H119" s="877"/>
      <c r="I119" s="877"/>
      <c r="J119" s="877"/>
      <c r="K119" s="877"/>
      <c r="L119" s="877"/>
      <c r="M119" s="877"/>
      <c r="N119" s="877"/>
      <c r="O119" s="877"/>
      <c r="P119" s="877"/>
      <c r="Q119" s="878"/>
      <c r="R119" s="56"/>
      <c r="S119" s="5"/>
      <c r="T119" s="322"/>
    </row>
    <row r="120" spans="1:24" ht="15.75" x14ac:dyDescent="0.2">
      <c r="A120" s="679" t="s">
        <v>335</v>
      </c>
      <c r="B120" s="680"/>
      <c r="C120" s="680"/>
      <c r="D120" s="680"/>
      <c r="E120" s="680"/>
      <c r="F120" s="680"/>
      <c r="G120" s="680"/>
      <c r="H120" s="680"/>
      <c r="I120" s="680"/>
      <c r="J120" s="680"/>
      <c r="K120" s="680"/>
      <c r="L120" s="680"/>
      <c r="M120" s="680"/>
      <c r="N120" s="680"/>
      <c r="O120" s="680"/>
      <c r="P120" s="680"/>
      <c r="Q120" s="681"/>
      <c r="R120" s="56"/>
      <c r="S120" s="5"/>
      <c r="T120" s="322"/>
    </row>
    <row r="121" spans="1:24" ht="15.75" x14ac:dyDescent="0.2">
      <c r="A121" s="712" t="s">
        <v>331</v>
      </c>
      <c r="B121" s="713"/>
      <c r="C121" s="713"/>
      <c r="D121" s="713"/>
      <c r="E121" s="713"/>
      <c r="F121" s="713"/>
      <c r="G121" s="713"/>
      <c r="H121" s="713"/>
      <c r="I121" s="713"/>
      <c r="J121" s="713"/>
      <c r="K121" s="713"/>
      <c r="L121" s="713"/>
      <c r="M121" s="713"/>
      <c r="N121" s="713"/>
      <c r="O121" s="713"/>
      <c r="P121" s="713"/>
      <c r="Q121" s="714"/>
      <c r="R121" s="56"/>
      <c r="S121" s="5"/>
      <c r="T121" s="322"/>
    </row>
    <row r="122" spans="1:24" ht="26.25" thickBot="1" x14ac:dyDescent="0.25">
      <c r="A122" s="682" t="s">
        <v>376</v>
      </c>
      <c r="B122" s="683"/>
      <c r="C122" s="683"/>
      <c r="D122" s="683"/>
      <c r="E122" s="683"/>
      <c r="F122" s="683"/>
      <c r="G122" s="683"/>
      <c r="H122" s="683"/>
      <c r="I122" s="683"/>
      <c r="J122" s="683"/>
      <c r="K122" s="683"/>
      <c r="L122" s="683"/>
      <c r="M122" s="683"/>
      <c r="N122" s="683"/>
      <c r="O122" s="683"/>
      <c r="P122" s="683"/>
      <c r="Q122" s="684"/>
      <c r="R122" s="583" t="s">
        <v>338</v>
      </c>
    </row>
    <row r="135" spans="1:18" ht="13.5" thickBot="1" x14ac:dyDescent="0.25"/>
    <row r="136" spans="1:18" x14ac:dyDescent="0.2">
      <c r="A136" s="698" t="s">
        <v>24</v>
      </c>
      <c r="B136" s="674"/>
      <c r="C136" s="674"/>
      <c r="D136" s="674"/>
      <c r="E136" s="674"/>
      <c r="F136" s="674"/>
      <c r="G136" s="674"/>
      <c r="H136" s="674"/>
      <c r="I136" s="674"/>
      <c r="J136" s="674"/>
      <c r="K136" s="674"/>
      <c r="L136" s="674"/>
      <c r="M136" s="674"/>
      <c r="N136" s="674"/>
      <c r="O136" s="674"/>
      <c r="P136" s="674"/>
      <c r="Q136" s="699"/>
      <c r="R136" s="325"/>
    </row>
    <row r="137" spans="1:18" x14ac:dyDescent="0.2">
      <c r="A137" s="700" t="s">
        <v>45</v>
      </c>
      <c r="B137" s="701"/>
      <c r="C137" s="701"/>
      <c r="D137" s="701"/>
      <c r="E137" s="701"/>
      <c r="F137" s="701"/>
      <c r="G137" s="701"/>
      <c r="H137" s="701"/>
      <c r="I137" s="701"/>
      <c r="J137" s="701"/>
      <c r="K137" s="701"/>
      <c r="L137" s="701"/>
      <c r="M137" s="701"/>
      <c r="N137" s="701"/>
      <c r="O137" s="701"/>
      <c r="P137" s="701"/>
      <c r="Q137" s="702"/>
      <c r="R137" s="601"/>
    </row>
    <row r="138" spans="1:18" x14ac:dyDescent="0.2">
      <c r="A138" s="703" t="s">
        <v>191</v>
      </c>
      <c r="B138" s="704"/>
      <c r="C138" s="704"/>
      <c r="D138" s="704"/>
      <c r="E138" s="704"/>
      <c r="F138" s="704"/>
      <c r="G138" s="704"/>
      <c r="H138" s="704"/>
      <c r="I138" s="704"/>
      <c r="J138" s="704"/>
      <c r="K138" s="704"/>
      <c r="L138" s="704"/>
      <c r="M138" s="704"/>
      <c r="N138" s="704"/>
      <c r="O138" s="704"/>
      <c r="P138" s="704"/>
      <c r="Q138" s="705"/>
      <c r="R138" s="602"/>
    </row>
    <row r="139" spans="1:18" x14ac:dyDescent="0.2">
      <c r="A139" s="706" t="s">
        <v>192</v>
      </c>
      <c r="B139" s="707"/>
      <c r="C139" s="707"/>
      <c r="D139" s="707"/>
      <c r="E139" s="707"/>
      <c r="F139" s="707"/>
      <c r="G139" s="707"/>
      <c r="H139" s="707"/>
      <c r="I139" s="707"/>
      <c r="J139" s="707"/>
      <c r="K139" s="707"/>
      <c r="L139" s="707"/>
      <c r="M139" s="707"/>
      <c r="N139" s="707"/>
      <c r="O139" s="707"/>
      <c r="P139" s="707"/>
      <c r="Q139" s="708"/>
      <c r="R139" s="602"/>
    </row>
  </sheetData>
  <mergeCells count="32">
    <mergeCell ref="G100:H100"/>
    <mergeCell ref="A138:Q138"/>
    <mergeCell ref="G101:H101"/>
    <mergeCell ref="G99:H99"/>
    <mergeCell ref="G97:H97"/>
    <mergeCell ref="G98:H98"/>
    <mergeCell ref="A139:Q139"/>
    <mergeCell ref="A1:Q1"/>
    <mergeCell ref="A116:Q116"/>
    <mergeCell ref="A117:Q117"/>
    <mergeCell ref="A118:Q118"/>
    <mergeCell ref="A119:Q119"/>
    <mergeCell ref="A120:Q120"/>
    <mergeCell ref="G54:H54"/>
    <mergeCell ref="G82:H82"/>
    <mergeCell ref="A121:Q121"/>
    <mergeCell ref="A122:Q122"/>
    <mergeCell ref="A136:Q136"/>
    <mergeCell ref="A137:Q137"/>
    <mergeCell ref="G58:H58"/>
    <mergeCell ref="G72:H72"/>
    <mergeCell ref="G55:H55"/>
    <mergeCell ref="G56:H56"/>
    <mergeCell ref="G68:H68"/>
    <mergeCell ref="G69:H69"/>
    <mergeCell ref="G70:H70"/>
    <mergeCell ref="G86:H86"/>
    <mergeCell ref="G83:H83"/>
    <mergeCell ref="G84:H84"/>
    <mergeCell ref="G57:H57"/>
    <mergeCell ref="G71:H71"/>
    <mergeCell ref="G85:H85"/>
  </mergeCells>
  <printOptions horizontalCentered="1" gridLines="1"/>
  <pageMargins left="0.28999999999999998" right="0.28999999999999998" top="0.7" bottom="0.43" header="0.3" footer="0.27"/>
  <pageSetup scale="52" fitToHeight="0"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rowBreaks count="1" manualBreakCount="1">
    <brk id="58"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0"/>
  <dimension ref="A1:C21"/>
  <sheetViews>
    <sheetView workbookViewId="0"/>
  </sheetViews>
  <sheetFormatPr defaultColWidth="9.140625" defaultRowHeight="15.75" x14ac:dyDescent="0.25"/>
  <cols>
    <col min="1" max="1" width="15.7109375" style="14" bestFit="1" customWidth="1"/>
    <col min="2" max="3" width="9.140625" style="13"/>
    <col min="4" max="16384" width="9.140625" style="12"/>
  </cols>
  <sheetData>
    <row r="1" spans="1:3" x14ac:dyDescent="0.25">
      <c r="B1" s="13" t="s">
        <v>77</v>
      </c>
      <c r="C1" s="13" t="s">
        <v>78</v>
      </c>
    </row>
    <row r="2" spans="1:3" x14ac:dyDescent="0.25">
      <c r="A2" s="14">
        <v>39630</v>
      </c>
      <c r="B2" s="13" t="e">
        <f>#REF!</f>
        <v>#REF!</v>
      </c>
      <c r="C2" s="13" t="e">
        <f>'CBHP Caseload'!#REF!+'CBHP Caseload'!#REF!</f>
        <v>#REF!</v>
      </c>
    </row>
    <row r="3" spans="1:3" x14ac:dyDescent="0.25">
      <c r="A3" s="14">
        <v>39661</v>
      </c>
      <c r="B3" s="13" t="e">
        <f>#REF!</f>
        <v>#REF!</v>
      </c>
      <c r="C3" s="13" t="e">
        <f>'CBHP Caseload'!#REF!+'CBHP Caseload'!#REF!</f>
        <v>#REF!</v>
      </c>
    </row>
    <row r="4" spans="1:3" x14ac:dyDescent="0.25">
      <c r="A4" s="14">
        <v>39692</v>
      </c>
      <c r="B4" s="13" t="e">
        <f>#REF!</f>
        <v>#REF!</v>
      </c>
      <c r="C4" s="13" t="e">
        <f>'CBHP Caseload'!#REF!+'CBHP Caseload'!#REF!</f>
        <v>#REF!</v>
      </c>
    </row>
    <row r="5" spans="1:3" x14ac:dyDescent="0.25">
      <c r="A5" s="14">
        <v>39722</v>
      </c>
      <c r="B5" s="13" t="e">
        <f>#REF!</f>
        <v>#REF!</v>
      </c>
      <c r="C5" s="13" t="e">
        <f>'CBHP Caseload'!#REF!+'CBHP Caseload'!#REF!</f>
        <v>#REF!</v>
      </c>
    </row>
    <row r="6" spans="1:3" x14ac:dyDescent="0.25">
      <c r="A6" s="14">
        <v>39753</v>
      </c>
      <c r="B6" s="13" t="e">
        <f>#REF!</f>
        <v>#REF!</v>
      </c>
      <c r="C6" s="13" t="e">
        <f>'CBHP Caseload'!#REF!+'CBHP Caseload'!#REF!</f>
        <v>#REF!</v>
      </c>
    </row>
    <row r="7" spans="1:3" x14ac:dyDescent="0.25">
      <c r="A7" s="14">
        <v>39783</v>
      </c>
      <c r="B7" s="13" t="e">
        <f>#REF!</f>
        <v>#REF!</v>
      </c>
      <c r="C7" s="13" t="e">
        <f>'CBHP Caseload'!#REF!+'CBHP Caseload'!#REF!</f>
        <v>#REF!</v>
      </c>
    </row>
    <row r="8" spans="1:3" x14ac:dyDescent="0.25">
      <c r="A8" s="14">
        <v>39814</v>
      </c>
      <c r="B8" s="13" t="e">
        <f>#REF!</f>
        <v>#REF!</v>
      </c>
      <c r="C8" s="13" t="e">
        <f>'CBHP Caseload'!#REF!+'CBHP Caseload'!#REF!</f>
        <v>#REF!</v>
      </c>
    </row>
    <row r="9" spans="1:3" x14ac:dyDescent="0.25">
      <c r="A9" s="14">
        <v>39845</v>
      </c>
      <c r="B9" s="13" t="e">
        <f>#REF!</f>
        <v>#REF!</v>
      </c>
      <c r="C9" s="13" t="e">
        <f>'CBHP Caseload'!#REF!+'CBHP Caseload'!#REF!</f>
        <v>#REF!</v>
      </c>
    </row>
    <row r="10" spans="1:3" x14ac:dyDescent="0.25">
      <c r="A10" s="14">
        <v>39873</v>
      </c>
      <c r="B10" s="13" t="e">
        <f>#REF!</f>
        <v>#REF!</v>
      </c>
      <c r="C10" s="13" t="e">
        <f>'CBHP Caseload'!#REF!+'CBHP Caseload'!#REF!</f>
        <v>#REF!</v>
      </c>
    </row>
    <row r="11" spans="1:3" x14ac:dyDescent="0.25">
      <c r="A11" s="14">
        <v>39904</v>
      </c>
      <c r="B11" s="13" t="e">
        <f>#REF!</f>
        <v>#REF!</v>
      </c>
      <c r="C11" s="13" t="e">
        <f>'CBHP Caseload'!#REF!+'CBHP Caseload'!#REF!</f>
        <v>#REF!</v>
      </c>
    </row>
    <row r="12" spans="1:3" x14ac:dyDescent="0.25">
      <c r="A12" s="14">
        <v>39934</v>
      </c>
      <c r="B12" s="13" t="e">
        <f>#REF!</f>
        <v>#REF!</v>
      </c>
      <c r="C12" s="13" t="e">
        <f>'CBHP Caseload'!#REF!+'CBHP Caseload'!#REF!</f>
        <v>#REF!</v>
      </c>
    </row>
    <row r="13" spans="1:3" x14ac:dyDescent="0.25">
      <c r="A13" s="14">
        <v>39965</v>
      </c>
      <c r="B13" s="13" t="e">
        <f>#REF!</f>
        <v>#REF!</v>
      </c>
      <c r="C13" s="13" t="e">
        <f>'CBHP Caseload'!#REF!+'CBHP Caseload'!#REF!</f>
        <v>#REF!</v>
      </c>
    </row>
    <row r="14" spans="1:3" x14ac:dyDescent="0.25">
      <c r="A14" s="14">
        <v>39995</v>
      </c>
      <c r="B14" s="13" t="e">
        <f>#REF!</f>
        <v>#REF!</v>
      </c>
      <c r="C14" s="13">
        <f>'CBHP Caseload'!F16+'CBHP Caseload'!J16</f>
        <v>4458</v>
      </c>
    </row>
    <row r="15" spans="1:3" x14ac:dyDescent="0.25">
      <c r="A15" s="14">
        <v>40026</v>
      </c>
      <c r="B15" s="13" t="e">
        <f>#REF!</f>
        <v>#REF!</v>
      </c>
      <c r="C15" s="13">
        <f>'CBHP Caseload'!F17+'CBHP Caseload'!J17</f>
        <v>71057</v>
      </c>
    </row>
    <row r="16" spans="1:3" x14ac:dyDescent="0.25">
      <c r="A16" s="14">
        <v>40057</v>
      </c>
      <c r="B16" s="13" t="e">
        <f>#REF!</f>
        <v>#REF!</v>
      </c>
      <c r="C16" s="13">
        <f>'CBHP Caseload'!F18+'CBHP Caseload'!J18</f>
        <v>69973</v>
      </c>
    </row>
    <row r="17" spans="1:3" x14ac:dyDescent="0.25">
      <c r="A17" s="14">
        <v>40087</v>
      </c>
      <c r="B17" s="13" t="e">
        <f>#REF!</f>
        <v>#REF!</v>
      </c>
      <c r="C17" s="13">
        <f>'CBHP Caseload'!F19+'CBHP Caseload'!J19</f>
        <v>68488</v>
      </c>
    </row>
    <row r="18" spans="1:3" x14ac:dyDescent="0.25">
      <c r="A18" s="14">
        <v>40118</v>
      </c>
      <c r="B18" s="13" t="e">
        <f>#REF!</f>
        <v>#REF!</v>
      </c>
      <c r="C18" s="13">
        <f>'CBHP Caseload'!F20+'CBHP Caseload'!J20</f>
        <v>68047</v>
      </c>
    </row>
    <row r="19" spans="1:3" x14ac:dyDescent="0.25">
      <c r="A19" s="14">
        <v>40148</v>
      </c>
      <c r="B19" s="13" t="e">
        <f>#REF!</f>
        <v>#REF!</v>
      </c>
      <c r="C19" s="13">
        <f>'CBHP Caseload'!F21+'CBHP Caseload'!J21</f>
        <v>68278</v>
      </c>
    </row>
    <row r="20" spans="1:3" x14ac:dyDescent="0.25">
      <c r="A20" s="14">
        <v>40179</v>
      </c>
      <c r="B20" s="13" t="e">
        <f>#REF!</f>
        <v>#REF!</v>
      </c>
      <c r="C20" s="13">
        <f>'CBHP Caseload'!F22+'CBHP Caseload'!J22</f>
        <v>69221</v>
      </c>
    </row>
    <row r="21" spans="1:3" x14ac:dyDescent="0.25">
      <c r="A21" s="14">
        <v>40210</v>
      </c>
      <c r="B21" s="13" t="e">
        <f>#REF!</f>
        <v>#REF!</v>
      </c>
      <c r="C21" s="13">
        <f>'CBHP Caseload'!F23+'CBHP Caseload'!J23</f>
        <v>69655</v>
      </c>
    </row>
  </sheetData>
  <phoneticPr fontId="20"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O183"/>
  <sheetViews>
    <sheetView view="pageBreakPreview" zoomScaleNormal="100" zoomScaleSheetLayoutView="100" workbookViewId="0">
      <selection activeCell="A18" sqref="A18:U183"/>
    </sheetView>
  </sheetViews>
  <sheetFormatPr defaultColWidth="9.140625" defaultRowHeight="15.75" x14ac:dyDescent="0.25"/>
  <cols>
    <col min="1" max="1" width="7.7109375" style="1" customWidth="1"/>
    <col min="2" max="2" width="89" style="1" customWidth="1"/>
    <col min="3" max="3" width="21.42578125" style="11" bestFit="1" customWidth="1"/>
    <col min="4" max="4" width="22.42578125" style="11" customWidth="1"/>
    <col min="5" max="5" width="19.140625" style="11" bestFit="1" customWidth="1"/>
    <col min="6" max="6" width="19.28515625" style="11" customWidth="1"/>
    <col min="7" max="7" width="46.28515625" style="11" customWidth="1"/>
    <col min="8" max="10" width="9.140625" style="11"/>
    <col min="11" max="11" width="14.28515625" style="11" bestFit="1" customWidth="1"/>
    <col min="12" max="12" width="9.140625" style="11"/>
    <col min="13" max="13" width="9.28515625" style="11" bestFit="1" customWidth="1"/>
    <col min="14" max="16384" width="9.140625" style="11"/>
  </cols>
  <sheetData>
    <row r="1" spans="1:15" x14ac:dyDescent="0.25">
      <c r="A1" s="656"/>
      <c r="B1" s="656"/>
    </row>
    <row r="2" spans="1:15" s="194" customFormat="1" ht="16.5" thickBot="1" x14ac:dyDescent="0.25">
      <c r="A2" s="193"/>
      <c r="B2" s="193"/>
      <c r="C2" s="193"/>
      <c r="D2" s="193"/>
      <c r="E2" s="193"/>
      <c r="F2" s="193"/>
      <c r="G2" s="193"/>
    </row>
    <row r="3" spans="1:15" s="194" customFormat="1" ht="16.5" thickBot="1" x14ac:dyDescent="0.25">
      <c r="B3" s="657" t="s">
        <v>351</v>
      </c>
      <c r="C3" s="658"/>
    </row>
    <row r="4" spans="1:15" s="194" customFormat="1" x14ac:dyDescent="0.2">
      <c r="B4" s="44" t="s">
        <v>412</v>
      </c>
      <c r="C4" s="34">
        <v>7593282201</v>
      </c>
      <c r="D4" s="193"/>
      <c r="E4" s="193"/>
    </row>
    <row r="5" spans="1:15" s="194" customFormat="1" ht="16.5" customHeight="1" x14ac:dyDescent="0.2">
      <c r="B5" s="40" t="s">
        <v>352</v>
      </c>
      <c r="C5" s="34">
        <v>2211530</v>
      </c>
      <c r="D5" s="193"/>
      <c r="E5" s="193"/>
      <c r="G5" s="659"/>
      <c r="H5" s="659"/>
      <c r="I5" s="659"/>
      <c r="J5" s="659"/>
      <c r="K5" s="659"/>
      <c r="L5" s="659"/>
      <c r="M5" s="659"/>
      <c r="N5" s="659"/>
      <c r="O5" s="659"/>
    </row>
    <row r="6" spans="1:15" s="194" customFormat="1" ht="16.5" customHeight="1" x14ac:dyDescent="0.2">
      <c r="B6" s="40" t="s">
        <v>353</v>
      </c>
      <c r="C6" s="34">
        <v>-528200000</v>
      </c>
      <c r="D6" s="193"/>
      <c r="E6" s="193"/>
      <c r="G6" s="209"/>
    </row>
    <row r="7" spans="1:15" s="194" customFormat="1" ht="16.5" customHeight="1" x14ac:dyDescent="0.2">
      <c r="B7" s="40" t="s">
        <v>354</v>
      </c>
      <c r="C7" s="34">
        <v>514720329</v>
      </c>
      <c r="D7" s="193"/>
      <c r="E7" s="193"/>
      <c r="G7" s="209"/>
    </row>
    <row r="8" spans="1:15" s="194" customFormat="1" ht="16.5" customHeight="1" x14ac:dyDescent="0.2">
      <c r="B8" s="40" t="s">
        <v>355</v>
      </c>
      <c r="C8" s="34">
        <v>0</v>
      </c>
      <c r="D8" s="193"/>
      <c r="E8" s="193"/>
      <c r="G8" s="202"/>
    </row>
    <row r="9" spans="1:15" s="194" customFormat="1" hidden="1" x14ac:dyDescent="0.2">
      <c r="B9" s="40"/>
      <c r="C9" s="34"/>
      <c r="D9" s="193"/>
      <c r="E9" s="193"/>
    </row>
    <row r="10" spans="1:15" s="194" customFormat="1" hidden="1" x14ac:dyDescent="0.2">
      <c r="B10" s="40"/>
      <c r="C10" s="34"/>
      <c r="D10" s="193"/>
      <c r="E10" s="193"/>
    </row>
    <row r="11" spans="1:15" s="194" customFormat="1" hidden="1" x14ac:dyDescent="0.2">
      <c r="B11" s="40"/>
      <c r="C11" s="34"/>
      <c r="D11" s="193"/>
      <c r="E11" s="193"/>
    </row>
    <row r="12" spans="1:15" s="194" customFormat="1" hidden="1" x14ac:dyDescent="0.2">
      <c r="B12" s="40"/>
      <c r="C12" s="34"/>
      <c r="D12" s="193"/>
      <c r="E12" s="193"/>
    </row>
    <row r="13" spans="1:15" s="194" customFormat="1" hidden="1" x14ac:dyDescent="0.2">
      <c r="B13" s="40"/>
      <c r="C13" s="34"/>
      <c r="D13" s="193"/>
      <c r="E13" s="193"/>
    </row>
    <row r="14" spans="1:15" s="194" customFormat="1" x14ac:dyDescent="0.2">
      <c r="B14" s="45" t="s">
        <v>356</v>
      </c>
      <c r="C14" s="320">
        <v>7582014060</v>
      </c>
      <c r="D14" s="195"/>
      <c r="E14" s="319"/>
      <c r="F14" s="195"/>
    </row>
    <row r="15" spans="1:15" s="194" customFormat="1" ht="16.5" thickBot="1" x14ac:dyDescent="0.25">
      <c r="B15" s="58" t="s">
        <v>357</v>
      </c>
      <c r="C15" s="62">
        <v>6190124637</v>
      </c>
      <c r="D15" s="195"/>
      <c r="E15" s="195"/>
      <c r="F15" s="195"/>
    </row>
    <row r="16" spans="1:15" s="194" customFormat="1" ht="17.25" thickTop="1" thickBot="1" x14ac:dyDescent="0.25">
      <c r="B16" s="387" t="s">
        <v>358</v>
      </c>
      <c r="C16" s="35">
        <v>1391889423</v>
      </c>
      <c r="D16" s="195"/>
    </row>
    <row r="17" spans="1:3" x14ac:dyDescent="0.25">
      <c r="A17" s="10"/>
      <c r="B17" s="39"/>
      <c r="C17" s="363"/>
    </row>
    <row r="18" spans="1:3" x14ac:dyDescent="0.25">
      <c r="A18" s="11"/>
      <c r="B18" s="11"/>
    </row>
    <row r="19" spans="1:3" x14ac:dyDescent="0.25">
      <c r="A19" s="11"/>
      <c r="B19" s="11"/>
    </row>
    <row r="20" spans="1:3" x14ac:dyDescent="0.25">
      <c r="A20" s="11"/>
      <c r="B20" s="11"/>
    </row>
    <row r="21" spans="1:3" x14ac:dyDescent="0.25">
      <c r="A21" s="11"/>
      <c r="B21" s="11"/>
    </row>
    <row r="22" spans="1:3" x14ac:dyDescent="0.25">
      <c r="A22" s="11"/>
      <c r="B22" s="11"/>
    </row>
    <row r="23" spans="1:3" x14ac:dyDescent="0.25">
      <c r="A23" s="11"/>
      <c r="B23" s="11"/>
    </row>
    <row r="24" spans="1:3" x14ac:dyDescent="0.25">
      <c r="A24" s="11"/>
      <c r="B24" s="11"/>
    </row>
    <row r="25" spans="1:3" x14ac:dyDescent="0.25">
      <c r="A25" s="11"/>
      <c r="B25" s="11"/>
    </row>
    <row r="26" spans="1:3" x14ac:dyDescent="0.25">
      <c r="A26" s="11"/>
      <c r="B26" s="11"/>
    </row>
    <row r="27" spans="1:3" x14ac:dyDescent="0.25">
      <c r="A27" s="11"/>
      <c r="B27" s="11"/>
    </row>
    <row r="28" spans="1:3" x14ac:dyDescent="0.25">
      <c r="A28" s="11"/>
      <c r="B28" s="11"/>
    </row>
    <row r="29" spans="1:3" x14ac:dyDescent="0.25">
      <c r="A29" s="11"/>
      <c r="B29" s="11"/>
    </row>
    <row r="30" spans="1:3" x14ac:dyDescent="0.25">
      <c r="A30" s="11"/>
      <c r="B30" s="11"/>
    </row>
    <row r="31" spans="1:3" x14ac:dyDescent="0.25">
      <c r="A31" s="11"/>
      <c r="B31" s="11"/>
    </row>
    <row r="32" spans="1:3" x14ac:dyDescent="0.25">
      <c r="A32" s="11"/>
      <c r="B32" s="11"/>
    </row>
    <row r="33" spans="1:2" x14ac:dyDescent="0.25">
      <c r="A33" s="11"/>
      <c r="B33" s="11"/>
    </row>
    <row r="34" spans="1:2" x14ac:dyDescent="0.25">
      <c r="A34" s="11"/>
      <c r="B34" s="11"/>
    </row>
    <row r="35" spans="1:2" x14ac:dyDescent="0.25">
      <c r="A35" s="11"/>
      <c r="B35" s="11"/>
    </row>
    <row r="36" spans="1:2" x14ac:dyDescent="0.25">
      <c r="A36" s="11"/>
      <c r="B36" s="11"/>
    </row>
    <row r="37" spans="1:2" x14ac:dyDescent="0.25">
      <c r="A37" s="11"/>
      <c r="B37" s="11"/>
    </row>
    <row r="38" spans="1:2" x14ac:dyDescent="0.25">
      <c r="A38" s="11"/>
      <c r="B38" s="11"/>
    </row>
    <row r="39" spans="1:2" x14ac:dyDescent="0.25">
      <c r="A39" s="11"/>
      <c r="B39" s="11"/>
    </row>
    <row r="40" spans="1:2" x14ac:dyDescent="0.25">
      <c r="A40" s="11"/>
      <c r="B40" s="11"/>
    </row>
    <row r="41" spans="1:2" x14ac:dyDescent="0.25">
      <c r="A41" s="11"/>
      <c r="B41" s="11"/>
    </row>
    <row r="42" spans="1:2" x14ac:dyDescent="0.25">
      <c r="A42" s="11"/>
      <c r="B42" s="11"/>
    </row>
    <row r="43" spans="1:2" x14ac:dyDescent="0.25">
      <c r="A43" s="11"/>
      <c r="B43" s="11"/>
    </row>
    <row r="44" spans="1:2" x14ac:dyDescent="0.25">
      <c r="A44" s="11"/>
      <c r="B44" s="11"/>
    </row>
    <row r="45" spans="1:2" x14ac:dyDescent="0.25">
      <c r="A45" s="11"/>
      <c r="B45" s="11"/>
    </row>
    <row r="46" spans="1:2" x14ac:dyDescent="0.25">
      <c r="A46" s="11"/>
      <c r="B46" s="11"/>
    </row>
    <row r="47" spans="1:2" x14ac:dyDescent="0.25">
      <c r="A47" s="11"/>
      <c r="B47" s="11"/>
    </row>
    <row r="48" spans="1:2" x14ac:dyDescent="0.25">
      <c r="A48" s="11"/>
      <c r="B48" s="11"/>
    </row>
    <row r="49" spans="1:2" x14ac:dyDescent="0.25">
      <c r="A49" s="11"/>
      <c r="B49" s="11"/>
    </row>
    <row r="50" spans="1:2" x14ac:dyDescent="0.25">
      <c r="A50" s="11"/>
      <c r="B50" s="11"/>
    </row>
    <row r="51" spans="1:2" x14ac:dyDescent="0.25">
      <c r="A51" s="11"/>
      <c r="B51" s="11"/>
    </row>
    <row r="52" spans="1:2" x14ac:dyDescent="0.25">
      <c r="A52" s="11"/>
      <c r="B52" s="11"/>
    </row>
    <row r="53" spans="1:2" x14ac:dyDescent="0.25">
      <c r="A53" s="11"/>
      <c r="B53" s="11"/>
    </row>
    <row r="54" spans="1:2" x14ac:dyDescent="0.25">
      <c r="A54" s="11"/>
      <c r="B54" s="11"/>
    </row>
    <row r="55" spans="1:2" x14ac:dyDescent="0.25">
      <c r="A55" s="11"/>
      <c r="B55" s="11"/>
    </row>
    <row r="56" spans="1:2" x14ac:dyDescent="0.25">
      <c r="A56" s="11"/>
      <c r="B56" s="11"/>
    </row>
    <row r="57" spans="1:2" x14ac:dyDescent="0.25">
      <c r="A57" s="11"/>
      <c r="B57" s="11"/>
    </row>
    <row r="58" spans="1:2" x14ac:dyDescent="0.25">
      <c r="A58" s="11"/>
      <c r="B58" s="11"/>
    </row>
    <row r="59" spans="1:2" x14ac:dyDescent="0.25">
      <c r="A59" s="11"/>
      <c r="B59" s="11"/>
    </row>
    <row r="60" spans="1:2" x14ac:dyDescent="0.25">
      <c r="A60" s="11"/>
      <c r="B60" s="11"/>
    </row>
    <row r="61" spans="1:2" x14ac:dyDescent="0.25">
      <c r="A61" s="11"/>
      <c r="B61" s="11"/>
    </row>
    <row r="62" spans="1:2" x14ac:dyDescent="0.25">
      <c r="A62" s="11"/>
      <c r="B62" s="11"/>
    </row>
    <row r="63" spans="1:2" x14ac:dyDescent="0.25">
      <c r="A63" s="11"/>
      <c r="B63" s="11"/>
    </row>
    <row r="64" spans="1:2" ht="37.5" customHeight="1" x14ac:dyDescent="0.25">
      <c r="A64" s="11"/>
      <c r="B64" s="11"/>
    </row>
    <row r="65" spans="1:2" x14ac:dyDescent="0.25">
      <c r="A65" s="11"/>
      <c r="B65" s="11"/>
    </row>
    <row r="66" spans="1:2" x14ac:dyDescent="0.25">
      <c r="A66" s="11"/>
      <c r="B66" s="11"/>
    </row>
    <row r="67" spans="1:2" x14ac:dyDescent="0.25">
      <c r="A67" s="11"/>
      <c r="B67" s="11"/>
    </row>
    <row r="68" spans="1:2" x14ac:dyDescent="0.25">
      <c r="A68" s="11"/>
      <c r="B68" s="11"/>
    </row>
    <row r="69" spans="1:2" x14ac:dyDescent="0.25">
      <c r="A69" s="11"/>
      <c r="B69" s="11"/>
    </row>
    <row r="70" spans="1:2" x14ac:dyDescent="0.25">
      <c r="A70" s="11"/>
      <c r="B70" s="11"/>
    </row>
    <row r="71" spans="1:2" x14ac:dyDescent="0.25">
      <c r="A71" s="11"/>
      <c r="B71" s="11"/>
    </row>
    <row r="72" spans="1:2" x14ac:dyDescent="0.25">
      <c r="A72" s="11"/>
      <c r="B72" s="11"/>
    </row>
    <row r="73" spans="1:2" x14ac:dyDescent="0.25">
      <c r="A73" s="11"/>
      <c r="B73" s="11"/>
    </row>
    <row r="74" spans="1:2" x14ac:dyDescent="0.25">
      <c r="A74" s="11"/>
      <c r="B74" s="11"/>
    </row>
    <row r="75" spans="1:2" x14ac:dyDescent="0.25">
      <c r="A75" s="11"/>
      <c r="B75" s="11"/>
    </row>
    <row r="76" spans="1:2" x14ac:dyDescent="0.25">
      <c r="A76" s="11"/>
      <c r="B76" s="11"/>
    </row>
    <row r="77" spans="1:2" x14ac:dyDescent="0.25">
      <c r="A77" s="11"/>
      <c r="B77" s="11"/>
    </row>
    <row r="78" spans="1:2" x14ac:dyDescent="0.25">
      <c r="A78" s="11"/>
      <c r="B78" s="11"/>
    </row>
    <row r="79" spans="1:2" x14ac:dyDescent="0.25">
      <c r="A79" s="11"/>
      <c r="B79" s="11"/>
    </row>
    <row r="80" spans="1:2" x14ac:dyDescent="0.25">
      <c r="A80" s="11"/>
      <c r="B80" s="11"/>
    </row>
    <row r="81" spans="1:2" x14ac:dyDescent="0.25">
      <c r="A81" s="11"/>
      <c r="B81" s="11"/>
    </row>
    <row r="82" spans="1:2" x14ac:dyDescent="0.25">
      <c r="A82" s="11"/>
      <c r="B82" s="11"/>
    </row>
    <row r="83" spans="1:2" x14ac:dyDescent="0.25">
      <c r="A83" s="11"/>
      <c r="B83" s="11"/>
    </row>
    <row r="84" spans="1:2" x14ac:dyDescent="0.25">
      <c r="A84" s="11"/>
      <c r="B84" s="11"/>
    </row>
    <row r="85" spans="1:2" x14ac:dyDescent="0.25">
      <c r="A85" s="11"/>
      <c r="B85" s="11"/>
    </row>
    <row r="86" spans="1:2" x14ac:dyDescent="0.25">
      <c r="A86" s="11"/>
      <c r="B86" s="11"/>
    </row>
    <row r="87" spans="1:2" x14ac:dyDescent="0.25">
      <c r="A87" s="11"/>
      <c r="B87" s="11"/>
    </row>
    <row r="88" spans="1:2" x14ac:dyDescent="0.25">
      <c r="A88" s="11"/>
      <c r="B88" s="11"/>
    </row>
    <row r="89" spans="1:2" x14ac:dyDescent="0.25">
      <c r="A89" s="11"/>
      <c r="B89" s="11"/>
    </row>
    <row r="90" spans="1:2" x14ac:dyDescent="0.25">
      <c r="A90" s="11"/>
      <c r="B90" s="11"/>
    </row>
    <row r="91" spans="1:2" x14ac:dyDescent="0.25">
      <c r="A91" s="11"/>
      <c r="B91" s="11"/>
    </row>
    <row r="92" spans="1:2" x14ac:dyDescent="0.25">
      <c r="A92" s="11"/>
      <c r="B92" s="11"/>
    </row>
    <row r="93" spans="1:2" x14ac:dyDescent="0.25">
      <c r="A93" s="11"/>
      <c r="B93" s="11"/>
    </row>
    <row r="94" spans="1:2" x14ac:dyDescent="0.25">
      <c r="A94" s="11"/>
      <c r="B94" s="11"/>
    </row>
    <row r="95" spans="1:2" x14ac:dyDescent="0.25">
      <c r="A95" s="11"/>
      <c r="B95" s="11"/>
    </row>
    <row r="96" spans="1:2" x14ac:dyDescent="0.25">
      <c r="A96" s="11"/>
      <c r="B96" s="11"/>
    </row>
    <row r="97" spans="1:2" x14ac:dyDescent="0.25">
      <c r="A97" s="11"/>
      <c r="B97" s="11"/>
    </row>
    <row r="98" spans="1:2" x14ac:dyDescent="0.25">
      <c r="A98" s="11"/>
      <c r="B98" s="11"/>
    </row>
    <row r="99" spans="1:2" x14ac:dyDescent="0.25">
      <c r="A99" s="11"/>
      <c r="B99" s="11"/>
    </row>
    <row r="100" spans="1:2" x14ac:dyDescent="0.25">
      <c r="A100" s="11"/>
      <c r="B100" s="11"/>
    </row>
    <row r="101" spans="1:2" x14ac:dyDescent="0.25">
      <c r="A101" s="11"/>
      <c r="B101" s="11"/>
    </row>
    <row r="102" spans="1:2" x14ac:dyDescent="0.25">
      <c r="A102" s="11"/>
      <c r="B102" s="11"/>
    </row>
    <row r="103" spans="1:2" x14ac:dyDescent="0.25">
      <c r="A103" s="11"/>
      <c r="B103" s="11"/>
    </row>
    <row r="104" spans="1:2" x14ac:dyDescent="0.25">
      <c r="A104" s="11"/>
      <c r="B104" s="11"/>
    </row>
    <row r="105" spans="1:2" x14ac:dyDescent="0.25">
      <c r="A105" s="11"/>
      <c r="B105" s="11"/>
    </row>
    <row r="106" spans="1:2" x14ac:dyDescent="0.25">
      <c r="A106" s="11"/>
      <c r="B106" s="11"/>
    </row>
    <row r="107" spans="1:2" x14ac:dyDescent="0.25">
      <c r="A107" s="11"/>
      <c r="B107" s="11"/>
    </row>
    <row r="108" spans="1:2" x14ac:dyDescent="0.25">
      <c r="A108" s="11"/>
      <c r="B108" s="11"/>
    </row>
    <row r="109" spans="1:2" x14ac:dyDescent="0.25">
      <c r="A109" s="11"/>
      <c r="B109" s="11"/>
    </row>
    <row r="110" spans="1:2" x14ac:dyDescent="0.25">
      <c r="A110" s="11"/>
      <c r="B110" s="11"/>
    </row>
    <row r="111" spans="1:2" x14ac:dyDescent="0.25">
      <c r="A111" s="11"/>
      <c r="B111" s="11"/>
    </row>
    <row r="112" spans="1:2" x14ac:dyDescent="0.25">
      <c r="A112" s="11"/>
      <c r="B112" s="11"/>
    </row>
    <row r="113" spans="1:2" x14ac:dyDescent="0.25">
      <c r="A113" s="11"/>
      <c r="B113" s="11"/>
    </row>
    <row r="114" spans="1:2" x14ac:dyDescent="0.25">
      <c r="A114" s="11"/>
      <c r="B114" s="11"/>
    </row>
    <row r="115" spans="1:2" x14ac:dyDescent="0.25">
      <c r="A115" s="11"/>
      <c r="B115" s="11"/>
    </row>
    <row r="116" spans="1:2" x14ac:dyDescent="0.25">
      <c r="A116" s="11"/>
      <c r="B116" s="11"/>
    </row>
    <row r="117" spans="1:2" x14ac:dyDescent="0.25">
      <c r="A117" s="11"/>
      <c r="B117" s="11"/>
    </row>
    <row r="118" spans="1:2" x14ac:dyDescent="0.25">
      <c r="A118" s="11"/>
      <c r="B118" s="11"/>
    </row>
    <row r="119" spans="1:2" x14ac:dyDescent="0.25">
      <c r="A119" s="11"/>
      <c r="B119" s="11"/>
    </row>
    <row r="120" spans="1:2" x14ac:dyDescent="0.25">
      <c r="A120" s="11"/>
      <c r="B120" s="11"/>
    </row>
    <row r="121" spans="1:2" x14ac:dyDescent="0.25">
      <c r="A121" s="11"/>
      <c r="B121" s="11"/>
    </row>
    <row r="122" spans="1:2" x14ac:dyDescent="0.25">
      <c r="A122" s="11"/>
      <c r="B122" s="11"/>
    </row>
    <row r="123" spans="1:2" x14ac:dyDescent="0.25">
      <c r="A123" s="11"/>
      <c r="B123" s="11"/>
    </row>
    <row r="124" spans="1:2" x14ac:dyDescent="0.25">
      <c r="A124" s="11"/>
      <c r="B124" s="11"/>
    </row>
    <row r="125" spans="1:2" x14ac:dyDescent="0.25">
      <c r="A125" s="11"/>
      <c r="B125" s="11"/>
    </row>
    <row r="126" spans="1:2" x14ac:dyDescent="0.25">
      <c r="A126" s="11"/>
      <c r="B126" s="11"/>
    </row>
    <row r="127" spans="1:2" x14ac:dyDescent="0.25">
      <c r="A127" s="11"/>
      <c r="B127" s="11"/>
    </row>
    <row r="128" spans="1:2" x14ac:dyDescent="0.25">
      <c r="A128" s="11"/>
      <c r="B128" s="11"/>
    </row>
    <row r="129" spans="1:2" x14ac:dyDescent="0.25">
      <c r="A129" s="11"/>
      <c r="B129" s="11"/>
    </row>
    <row r="130" spans="1:2" x14ac:dyDescent="0.25">
      <c r="A130" s="11"/>
      <c r="B130" s="11"/>
    </row>
    <row r="131" spans="1:2" x14ac:dyDescent="0.25">
      <c r="A131" s="11"/>
      <c r="B131" s="11"/>
    </row>
    <row r="132" spans="1:2" x14ac:dyDescent="0.25">
      <c r="A132" s="11"/>
      <c r="B132" s="11"/>
    </row>
    <row r="133" spans="1:2" x14ac:dyDescent="0.25">
      <c r="A133" s="11"/>
      <c r="B133" s="11"/>
    </row>
    <row r="134" spans="1:2" x14ac:dyDescent="0.25">
      <c r="A134" s="11"/>
      <c r="B134" s="11"/>
    </row>
    <row r="135" spans="1:2" x14ac:dyDescent="0.25">
      <c r="A135" s="11"/>
      <c r="B135" s="11"/>
    </row>
    <row r="136" spans="1:2" x14ac:dyDescent="0.25">
      <c r="A136" s="11"/>
      <c r="B136" s="11"/>
    </row>
    <row r="137" spans="1:2" x14ac:dyDescent="0.25">
      <c r="A137" s="11"/>
      <c r="B137" s="11"/>
    </row>
    <row r="138" spans="1:2" x14ac:dyDescent="0.25">
      <c r="A138" s="11"/>
      <c r="B138" s="11"/>
    </row>
    <row r="139" spans="1:2" x14ac:dyDescent="0.25">
      <c r="A139" s="11"/>
      <c r="B139" s="11"/>
    </row>
    <row r="140" spans="1:2" x14ac:dyDescent="0.25">
      <c r="A140" s="11"/>
      <c r="B140" s="11"/>
    </row>
    <row r="141" spans="1:2" x14ac:dyDescent="0.25">
      <c r="A141" s="11"/>
      <c r="B141" s="11"/>
    </row>
    <row r="142" spans="1:2" x14ac:dyDescent="0.25">
      <c r="A142" s="11"/>
      <c r="B142" s="11"/>
    </row>
    <row r="143" spans="1:2" x14ac:dyDescent="0.25">
      <c r="A143" s="11"/>
      <c r="B143" s="11"/>
    </row>
    <row r="144" spans="1:2" x14ac:dyDescent="0.25">
      <c r="A144" s="11"/>
      <c r="B144" s="11"/>
    </row>
    <row r="145" spans="1:2" x14ac:dyDescent="0.25">
      <c r="A145" s="11"/>
      <c r="B145" s="11"/>
    </row>
    <row r="146" spans="1:2" x14ac:dyDescent="0.25">
      <c r="A146" s="11"/>
      <c r="B146" s="11"/>
    </row>
    <row r="147" spans="1:2" x14ac:dyDescent="0.25">
      <c r="A147" s="11"/>
      <c r="B147" s="11"/>
    </row>
    <row r="148" spans="1:2" x14ac:dyDescent="0.25">
      <c r="A148" s="11"/>
      <c r="B148" s="11"/>
    </row>
    <row r="149" spans="1:2" x14ac:dyDescent="0.25">
      <c r="A149" s="11"/>
      <c r="B149" s="11"/>
    </row>
    <row r="150" spans="1:2" x14ac:dyDescent="0.25">
      <c r="A150" s="11"/>
      <c r="B150" s="11"/>
    </row>
    <row r="151" spans="1:2" x14ac:dyDescent="0.25">
      <c r="A151" s="11"/>
      <c r="B151" s="11"/>
    </row>
    <row r="152" spans="1:2" x14ac:dyDescent="0.25">
      <c r="A152" s="11"/>
      <c r="B152" s="11"/>
    </row>
    <row r="153" spans="1:2" x14ac:dyDescent="0.25">
      <c r="A153" s="11"/>
      <c r="B153" s="11"/>
    </row>
    <row r="154" spans="1:2" x14ac:dyDescent="0.25">
      <c r="A154" s="11"/>
      <c r="B154" s="11"/>
    </row>
    <row r="155" spans="1:2" x14ac:dyDescent="0.25">
      <c r="A155" s="11"/>
      <c r="B155" s="11"/>
    </row>
    <row r="156" spans="1:2" x14ac:dyDescent="0.25">
      <c r="A156" s="11"/>
      <c r="B156" s="11"/>
    </row>
    <row r="157" spans="1:2" x14ac:dyDescent="0.25">
      <c r="A157" s="11"/>
      <c r="B157" s="11"/>
    </row>
    <row r="158" spans="1:2" x14ac:dyDescent="0.25">
      <c r="A158" s="11"/>
      <c r="B158" s="11"/>
    </row>
    <row r="159" spans="1:2" x14ac:dyDescent="0.25">
      <c r="A159" s="11"/>
      <c r="B159" s="11"/>
    </row>
    <row r="160" spans="1:2" x14ac:dyDescent="0.25">
      <c r="A160" s="11"/>
      <c r="B160" s="11"/>
    </row>
    <row r="161" spans="1:2" x14ac:dyDescent="0.25">
      <c r="A161" s="11"/>
      <c r="B161" s="11"/>
    </row>
    <row r="162" spans="1:2" x14ac:dyDescent="0.25">
      <c r="A162" s="11"/>
      <c r="B162" s="11"/>
    </row>
    <row r="163" spans="1:2" x14ac:dyDescent="0.25">
      <c r="A163" s="11"/>
      <c r="B163" s="11"/>
    </row>
    <row r="164" spans="1:2" x14ac:dyDescent="0.25">
      <c r="A164" s="11"/>
      <c r="B164" s="11"/>
    </row>
    <row r="165" spans="1:2" x14ac:dyDescent="0.25">
      <c r="A165" s="11"/>
      <c r="B165" s="11"/>
    </row>
    <row r="166" spans="1:2" x14ac:dyDescent="0.25">
      <c r="A166" s="11"/>
      <c r="B166" s="11"/>
    </row>
    <row r="167" spans="1:2" x14ac:dyDescent="0.25">
      <c r="A167" s="11"/>
      <c r="B167" s="11"/>
    </row>
    <row r="168" spans="1:2" x14ac:dyDescent="0.25">
      <c r="A168" s="11"/>
      <c r="B168" s="11"/>
    </row>
    <row r="169" spans="1:2" x14ac:dyDescent="0.25">
      <c r="A169" s="11"/>
      <c r="B169" s="11"/>
    </row>
    <row r="170" spans="1:2" x14ac:dyDescent="0.25">
      <c r="A170" s="11"/>
      <c r="B170" s="11"/>
    </row>
    <row r="171" spans="1:2" x14ac:dyDescent="0.25">
      <c r="A171" s="11"/>
      <c r="B171" s="11"/>
    </row>
    <row r="172" spans="1:2" x14ac:dyDescent="0.25">
      <c r="A172" s="11"/>
      <c r="B172" s="11"/>
    </row>
    <row r="173" spans="1:2" x14ac:dyDescent="0.25">
      <c r="A173" s="11"/>
      <c r="B173" s="11"/>
    </row>
    <row r="174" spans="1:2" x14ac:dyDescent="0.25">
      <c r="A174" s="11"/>
      <c r="B174" s="11"/>
    </row>
    <row r="175" spans="1:2" x14ac:dyDescent="0.25">
      <c r="A175" s="11"/>
      <c r="B175" s="11"/>
    </row>
    <row r="176" spans="1:2" x14ac:dyDescent="0.25">
      <c r="A176" s="11"/>
      <c r="B176" s="11"/>
    </row>
    <row r="177" spans="1:2" x14ac:dyDescent="0.25">
      <c r="A177" s="11"/>
      <c r="B177" s="11"/>
    </row>
    <row r="178" spans="1:2" x14ac:dyDescent="0.25">
      <c r="A178" s="11"/>
      <c r="B178" s="11"/>
    </row>
    <row r="179" spans="1:2" x14ac:dyDescent="0.25">
      <c r="A179" s="11"/>
      <c r="B179" s="11"/>
    </row>
    <row r="180" spans="1:2" x14ac:dyDescent="0.25">
      <c r="A180" s="11"/>
      <c r="B180" s="11"/>
    </row>
    <row r="181" spans="1:2" x14ac:dyDescent="0.25">
      <c r="A181" s="11"/>
      <c r="B181" s="11"/>
    </row>
    <row r="182" spans="1:2" x14ac:dyDescent="0.25">
      <c r="A182" s="11"/>
      <c r="B182" s="11"/>
    </row>
    <row r="183" spans="1:2" x14ac:dyDescent="0.25">
      <c r="A183" s="11"/>
      <c r="B183" s="11"/>
    </row>
  </sheetData>
  <mergeCells count="3">
    <mergeCell ref="A1:B1"/>
    <mergeCell ref="B3:C3"/>
    <mergeCell ref="G5:O5"/>
  </mergeCells>
  <phoneticPr fontId="20" type="noConversion"/>
  <printOptions horizontalCentered="1" gridLines="1"/>
  <pageMargins left="0.28999999999999998" right="0.28999999999999998" top="0.7" bottom="0.43" header="0.3" footer="0.27"/>
  <pageSetup scale="105" firstPageNumber="2"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O60"/>
  <sheetViews>
    <sheetView view="pageBreakPreview" zoomScale="90" zoomScaleNormal="100" zoomScaleSheetLayoutView="90" workbookViewId="0">
      <selection activeCell="G22" sqref="G22"/>
    </sheetView>
  </sheetViews>
  <sheetFormatPr defaultColWidth="9.140625" defaultRowHeight="15.75" x14ac:dyDescent="0.2"/>
  <cols>
    <col min="1" max="1" width="12.140625" style="283" customWidth="1"/>
    <col min="2" max="2" width="36.42578125" style="283" bestFit="1" customWidth="1"/>
    <col min="3" max="4" width="15.28515625" style="283" bestFit="1" customWidth="1"/>
    <col min="5" max="5" width="17.42578125" style="283" customWidth="1"/>
    <col min="6" max="6" width="15.140625" style="283" customWidth="1"/>
    <col min="7" max="7" width="17.5703125" style="283" bestFit="1" customWidth="1"/>
    <col min="8" max="8" width="17.42578125" style="283" customWidth="1"/>
    <col min="9" max="9" width="14.85546875" style="283" customWidth="1"/>
    <col min="10" max="14" width="16.140625" style="283" customWidth="1"/>
    <col min="15" max="15" width="15.85546875" style="283" customWidth="1"/>
    <col min="16" max="16" width="11.140625" style="283" bestFit="1" customWidth="1"/>
    <col min="17" max="18" width="5.5703125" style="283" bestFit="1" customWidth="1"/>
    <col min="19" max="19" width="30" style="283" bestFit="1" customWidth="1"/>
    <col min="20" max="24" width="5.5703125" style="283" bestFit="1" customWidth="1"/>
    <col min="25" max="16384" width="9.140625" style="283"/>
  </cols>
  <sheetData>
    <row r="1" spans="1:15" ht="16.5" thickBot="1" x14ac:dyDescent="0.25">
      <c r="C1" s="283" t="s">
        <v>198</v>
      </c>
      <c r="D1" s="283" t="s">
        <v>198</v>
      </c>
      <c r="E1" s="283" t="s">
        <v>198</v>
      </c>
      <c r="F1" s="283" t="s">
        <v>198</v>
      </c>
      <c r="G1" s="283" t="s">
        <v>198</v>
      </c>
      <c r="H1" s="283" t="s">
        <v>198</v>
      </c>
      <c r="I1" s="283" t="s">
        <v>198</v>
      </c>
      <c r="J1" s="283" t="s">
        <v>198</v>
      </c>
      <c r="K1" s="283" t="s">
        <v>198</v>
      </c>
      <c r="L1" s="283" t="s">
        <v>198</v>
      </c>
      <c r="M1" s="283" t="s">
        <v>198</v>
      </c>
      <c r="N1" s="283" t="s">
        <v>198</v>
      </c>
      <c r="O1" s="283" t="s">
        <v>198</v>
      </c>
    </row>
    <row r="2" spans="1:15" ht="16.5" thickBot="1" x14ac:dyDescent="0.25">
      <c r="A2" s="660" t="s">
        <v>359</v>
      </c>
      <c r="B2" s="661"/>
      <c r="C2" s="661"/>
      <c r="D2" s="661"/>
      <c r="E2" s="661"/>
      <c r="F2" s="661"/>
      <c r="G2" s="661"/>
      <c r="H2" s="661"/>
      <c r="I2" s="661"/>
      <c r="J2" s="661"/>
      <c r="K2" s="661"/>
      <c r="L2" s="661"/>
      <c r="M2" s="661"/>
      <c r="N2" s="661"/>
      <c r="O2" s="662"/>
    </row>
    <row r="3" spans="1:15" ht="31.5" customHeight="1" thickBot="1" x14ac:dyDescent="0.25">
      <c r="A3" s="284"/>
      <c r="B3" s="285" t="s">
        <v>48</v>
      </c>
      <c r="C3" s="369">
        <v>42917</v>
      </c>
      <c r="D3" s="370">
        <v>42948</v>
      </c>
      <c r="E3" s="370">
        <v>42979</v>
      </c>
      <c r="F3" s="370">
        <v>43009</v>
      </c>
      <c r="G3" s="370">
        <v>43040</v>
      </c>
      <c r="H3" s="370">
        <v>43070</v>
      </c>
      <c r="I3" s="370">
        <v>43101</v>
      </c>
      <c r="J3" s="370">
        <v>43132</v>
      </c>
      <c r="K3" s="370">
        <v>43160</v>
      </c>
      <c r="L3" s="370">
        <v>43191</v>
      </c>
      <c r="M3" s="370">
        <v>43221</v>
      </c>
      <c r="N3" s="370">
        <v>43252</v>
      </c>
      <c r="O3" s="286" t="s">
        <v>350</v>
      </c>
    </row>
    <row r="4" spans="1:15" ht="31.5" customHeight="1" x14ac:dyDescent="0.2">
      <c r="A4" s="663" t="s">
        <v>186</v>
      </c>
      <c r="B4" s="287" t="s">
        <v>195</v>
      </c>
      <c r="C4" s="630">
        <v>31834785.000000004</v>
      </c>
      <c r="D4" s="627">
        <v>58509199</v>
      </c>
      <c r="E4" s="290">
        <v>58396993.000000015</v>
      </c>
      <c r="F4" s="290">
        <v>33196506</v>
      </c>
      <c r="G4" s="290">
        <v>33310106</v>
      </c>
      <c r="H4" s="290">
        <v>37720792</v>
      </c>
      <c r="I4" s="290">
        <v>31095689</v>
      </c>
      <c r="J4" s="290">
        <v>31090061</v>
      </c>
      <c r="K4" s="290">
        <v>33310106</v>
      </c>
      <c r="L4" s="290">
        <v>33310106</v>
      </c>
      <c r="M4" s="290"/>
      <c r="N4" s="290"/>
      <c r="O4" s="291">
        <v>381774343</v>
      </c>
    </row>
    <row r="5" spans="1:15" ht="31.5" customHeight="1" x14ac:dyDescent="0.2">
      <c r="A5" s="664"/>
      <c r="B5" s="287" t="s">
        <v>346</v>
      </c>
      <c r="C5" s="288">
        <v>0</v>
      </c>
      <c r="D5" s="627">
        <v>0</v>
      </c>
      <c r="E5" s="290">
        <v>0</v>
      </c>
      <c r="F5" s="290">
        <v>0</v>
      </c>
      <c r="G5" s="290">
        <v>0</v>
      </c>
      <c r="H5" s="290">
        <v>0</v>
      </c>
      <c r="I5" s="290">
        <v>0</v>
      </c>
      <c r="J5" s="290">
        <v>0</v>
      </c>
      <c r="K5" s="290">
        <v>0</v>
      </c>
      <c r="L5" s="290">
        <v>175654</v>
      </c>
      <c r="M5" s="290"/>
      <c r="N5" s="289"/>
      <c r="O5" s="291">
        <v>175654</v>
      </c>
    </row>
    <row r="6" spans="1:15" ht="31.5" customHeight="1" x14ac:dyDescent="0.2">
      <c r="A6" s="664"/>
      <c r="B6" s="292" t="s">
        <v>196</v>
      </c>
      <c r="C6" s="293">
        <v>7064717.9999999981</v>
      </c>
      <c r="D6" s="628">
        <v>9513697</v>
      </c>
      <c r="E6" s="294">
        <v>9511013.0000000019</v>
      </c>
      <c r="F6" s="294">
        <v>7481474</v>
      </c>
      <c r="G6" s="294">
        <v>7472462</v>
      </c>
      <c r="H6" s="294">
        <v>8229880</v>
      </c>
      <c r="I6" s="294">
        <v>7088053</v>
      </c>
      <c r="J6" s="294">
        <v>7088053</v>
      </c>
      <c r="K6" s="294">
        <v>7472462</v>
      </c>
      <c r="L6" s="294">
        <v>7472462</v>
      </c>
      <c r="M6" s="294"/>
      <c r="N6" s="294"/>
      <c r="O6" s="295">
        <v>78394274</v>
      </c>
    </row>
    <row r="7" spans="1:15" ht="31.5" customHeight="1" thickBot="1" x14ac:dyDescent="0.25">
      <c r="A7" s="664"/>
      <c r="B7" s="296" t="s">
        <v>197</v>
      </c>
      <c r="C7" s="297">
        <v>18169282</v>
      </c>
      <c r="D7" s="629">
        <v>68899759</v>
      </c>
      <c r="E7" s="299">
        <v>69058689.000000045</v>
      </c>
      <c r="F7" s="299">
        <v>24560536</v>
      </c>
      <c r="G7" s="299">
        <v>24550304</v>
      </c>
      <c r="H7" s="299">
        <v>26657578</v>
      </c>
      <c r="I7" s="299">
        <v>23571285</v>
      </c>
      <c r="J7" s="299">
        <v>23571285</v>
      </c>
      <c r="K7" s="299">
        <v>24550304</v>
      </c>
      <c r="L7" s="299">
        <v>24550304</v>
      </c>
      <c r="M7" s="299"/>
      <c r="N7" s="299"/>
      <c r="O7" s="300">
        <v>328139326</v>
      </c>
    </row>
    <row r="8" spans="1:15" ht="31.5" customHeight="1" thickTop="1" thickBot="1" x14ac:dyDescent="0.25">
      <c r="A8" s="665"/>
      <c r="B8" s="301" t="s">
        <v>187</v>
      </c>
      <c r="C8" s="302">
        <v>57068785</v>
      </c>
      <c r="D8" s="302">
        <v>136922655</v>
      </c>
      <c r="E8" s="303">
        <v>136966695.00000006</v>
      </c>
      <c r="F8" s="303">
        <v>65238516</v>
      </c>
      <c r="G8" s="303">
        <v>65332872</v>
      </c>
      <c r="H8" s="303">
        <v>72608250</v>
      </c>
      <c r="I8" s="303">
        <v>61755027</v>
      </c>
      <c r="J8" s="302">
        <v>61749399</v>
      </c>
      <c r="K8" s="302">
        <v>65332872</v>
      </c>
      <c r="L8" s="302">
        <v>65508526</v>
      </c>
      <c r="M8" s="303">
        <v>0</v>
      </c>
      <c r="N8" s="303">
        <v>0</v>
      </c>
      <c r="O8" s="304">
        <v>788483597</v>
      </c>
    </row>
    <row r="9" spans="1:15" ht="31.5" customHeight="1" x14ac:dyDescent="0.2">
      <c r="A9" s="664" t="s">
        <v>188</v>
      </c>
      <c r="B9" s="305" t="s">
        <v>334</v>
      </c>
      <c r="C9" s="288">
        <v>16516757</v>
      </c>
      <c r="D9" s="289">
        <v>18807984.999999993</v>
      </c>
      <c r="E9" s="289">
        <v>18807975.999999996</v>
      </c>
      <c r="F9" s="289">
        <v>18807975.999999996</v>
      </c>
      <c r="G9" s="289">
        <v>14316753</v>
      </c>
      <c r="H9" s="289">
        <v>21588879</v>
      </c>
      <c r="I9" s="289">
        <v>10680690</v>
      </c>
      <c r="J9" s="289">
        <v>10680690</v>
      </c>
      <c r="K9" s="289">
        <v>14316753</v>
      </c>
      <c r="L9" s="289">
        <v>14632772</v>
      </c>
      <c r="M9" s="289"/>
      <c r="N9" s="289"/>
      <c r="O9" s="306">
        <v>159157231</v>
      </c>
    </row>
    <row r="10" spans="1:15" ht="31.5" customHeight="1" thickBot="1" x14ac:dyDescent="0.25">
      <c r="A10" s="664"/>
      <c r="B10" s="307" t="s">
        <v>317</v>
      </c>
      <c r="C10" s="297">
        <v>9623347.0000000019</v>
      </c>
      <c r="D10" s="298">
        <v>9788844.9999999981</v>
      </c>
      <c r="E10" s="298">
        <v>9788853.0000000019</v>
      </c>
      <c r="F10" s="298">
        <v>9788853.0000000019</v>
      </c>
      <c r="G10" s="298">
        <v>9623348</v>
      </c>
      <c r="H10" s="298">
        <v>11186370</v>
      </c>
      <c r="I10" s="298">
        <v>8759090</v>
      </c>
      <c r="J10" s="298">
        <v>8759090</v>
      </c>
      <c r="K10" s="298">
        <v>9623348</v>
      </c>
      <c r="L10" s="298">
        <v>9623348</v>
      </c>
      <c r="M10" s="298"/>
      <c r="N10" s="298"/>
      <c r="O10" s="308">
        <v>96564492</v>
      </c>
    </row>
    <row r="11" spans="1:15" ht="31.5" customHeight="1" thickTop="1" thickBot="1" x14ac:dyDescent="0.25">
      <c r="A11" s="664"/>
      <c r="B11" s="310" t="s">
        <v>189</v>
      </c>
      <c r="C11" s="311">
        <v>26140104</v>
      </c>
      <c r="D11" s="312">
        <v>28596829.999999993</v>
      </c>
      <c r="E11" s="312">
        <v>28596829</v>
      </c>
      <c r="F11" s="312">
        <v>28596829</v>
      </c>
      <c r="G11" s="312">
        <v>23940101</v>
      </c>
      <c r="H11" s="312">
        <v>32775249</v>
      </c>
      <c r="I11" s="312">
        <v>19439780</v>
      </c>
      <c r="J11" s="312">
        <v>19439780</v>
      </c>
      <c r="K11" s="312">
        <v>23940101</v>
      </c>
      <c r="L11" s="312">
        <v>24256120</v>
      </c>
      <c r="M11" s="312">
        <v>0</v>
      </c>
      <c r="N11" s="312">
        <v>0</v>
      </c>
      <c r="O11" s="313">
        <v>255721723</v>
      </c>
    </row>
    <row r="12" spans="1:15" ht="31.5" customHeight="1" thickBot="1" x14ac:dyDescent="0.25">
      <c r="A12" s="666" t="s">
        <v>190</v>
      </c>
      <c r="B12" s="667"/>
      <c r="C12" s="314">
        <v>83208889</v>
      </c>
      <c r="D12" s="315">
        <v>165519485</v>
      </c>
      <c r="E12" s="315">
        <v>165563524.00000006</v>
      </c>
      <c r="F12" s="315">
        <v>93835345</v>
      </c>
      <c r="G12" s="315">
        <v>89272973</v>
      </c>
      <c r="H12" s="315">
        <v>105383499</v>
      </c>
      <c r="I12" s="315">
        <v>81194807</v>
      </c>
      <c r="J12" s="316">
        <v>81189179</v>
      </c>
      <c r="K12" s="316">
        <v>89272973</v>
      </c>
      <c r="L12" s="316">
        <v>89764646</v>
      </c>
      <c r="M12" s="315">
        <v>0</v>
      </c>
      <c r="N12" s="315">
        <v>0</v>
      </c>
      <c r="O12" s="317">
        <v>1044205320</v>
      </c>
    </row>
    <row r="27" spans="6:9" x14ac:dyDescent="0.2">
      <c r="F27" s="318"/>
      <c r="I27" s="573"/>
    </row>
    <row r="60" ht="37.5" customHeight="1" x14ac:dyDescent="0.2"/>
  </sheetData>
  <mergeCells count="4">
    <mergeCell ref="A2:O2"/>
    <mergeCell ref="A4:A8"/>
    <mergeCell ref="A9:A11"/>
    <mergeCell ref="A12:B12"/>
  </mergeCells>
  <printOptions horizontalCentered="1" gridLines="1"/>
  <pageMargins left="0.28999999999999998" right="0.28999999999999998" top="0.7" bottom="0.43" header="0.3" footer="0.27"/>
  <pageSetup scale="53"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AB175"/>
  <sheetViews>
    <sheetView view="pageBreakPreview" zoomScale="55" zoomScaleNormal="100" zoomScaleSheetLayoutView="55" workbookViewId="0">
      <selection activeCell="H142" sqref="H142"/>
    </sheetView>
  </sheetViews>
  <sheetFormatPr defaultColWidth="9.140625" defaultRowHeight="15.75" x14ac:dyDescent="0.2"/>
  <cols>
    <col min="1" max="1" width="9.140625" style="461"/>
    <col min="2" max="2" width="41.7109375" style="461" customWidth="1"/>
    <col min="3" max="3" width="14.140625" style="461" bestFit="1" customWidth="1"/>
    <col min="4" max="4" width="10.7109375" style="461" customWidth="1"/>
    <col min="5" max="5" width="12.42578125" style="461" customWidth="1"/>
    <col min="6" max="6" width="12.7109375" style="461" customWidth="1"/>
    <col min="7" max="8" width="15.140625" style="461" customWidth="1"/>
    <col min="9" max="9" width="10.5703125" style="461" customWidth="1"/>
    <col min="10" max="10" width="17.28515625" style="461" customWidth="1"/>
    <col min="11" max="11" width="11.7109375" style="461" customWidth="1"/>
    <col min="12" max="12" width="16" style="461" customWidth="1"/>
    <col min="13" max="13" width="10.7109375" style="461" bestFit="1" customWidth="1"/>
    <col min="14" max="15" width="10.5703125" style="461" customWidth="1"/>
    <col min="16" max="16" width="11.7109375" style="461" customWidth="1"/>
    <col min="17" max="17" width="10.28515625" style="461" customWidth="1"/>
    <col min="18" max="21" width="12.28515625" style="461" customWidth="1"/>
    <col min="22" max="22" width="9.42578125" style="461" bestFit="1" customWidth="1"/>
    <col min="23" max="23" width="9.85546875" style="461" bestFit="1" customWidth="1"/>
    <col min="24" max="24" width="20.140625" style="461" bestFit="1" customWidth="1"/>
    <col min="25" max="25" width="9.85546875" style="461" bestFit="1" customWidth="1"/>
    <col min="26" max="26" width="9.7109375" style="461" bestFit="1" customWidth="1"/>
    <col min="27" max="27" width="21.85546875" style="461" bestFit="1" customWidth="1"/>
    <col min="28" max="28" width="28.140625" style="461" bestFit="1" customWidth="1"/>
    <col min="29" max="29" width="33.7109375" style="461" bestFit="1" customWidth="1"/>
    <col min="30" max="30" width="9.7109375" style="461" bestFit="1" customWidth="1"/>
    <col min="31" max="31" width="10" style="461" bestFit="1" customWidth="1"/>
    <col min="32" max="32" width="17.42578125" style="461" bestFit="1" customWidth="1"/>
    <col min="33" max="33" width="9.5703125" style="461" bestFit="1" customWidth="1"/>
    <col min="34" max="34" width="10" style="461" bestFit="1" customWidth="1"/>
    <col min="35" max="35" width="9.42578125" style="461" bestFit="1" customWidth="1"/>
    <col min="36" max="36" width="10" style="461" bestFit="1" customWidth="1"/>
    <col min="37" max="38" width="9.42578125" style="461" bestFit="1" customWidth="1"/>
    <col min="39" max="39" width="10.85546875" style="461" customWidth="1"/>
    <col min="40" max="40" width="9.42578125" style="461" bestFit="1" customWidth="1"/>
    <col min="41" max="16384" width="9.140625" style="461"/>
  </cols>
  <sheetData>
    <row r="1" spans="2:28" ht="22.5" customHeight="1" x14ac:dyDescent="0.2">
      <c r="B1" s="670" t="s">
        <v>173</v>
      </c>
      <c r="C1" s="671"/>
      <c r="D1" s="671"/>
      <c r="E1" s="671"/>
      <c r="F1" s="671"/>
      <c r="G1" s="671"/>
      <c r="H1" s="671"/>
      <c r="I1" s="671"/>
      <c r="J1" s="671"/>
      <c r="K1" s="671"/>
      <c r="L1" s="671"/>
      <c r="M1" s="671"/>
      <c r="N1" s="671"/>
      <c r="O1" s="671"/>
      <c r="P1" s="671"/>
      <c r="Q1" s="671"/>
      <c r="R1" s="672"/>
      <c r="S1" s="460"/>
      <c r="T1" s="460"/>
      <c r="U1" s="460"/>
      <c r="AB1" s="461">
        <f>Z1*AA1</f>
        <v>0</v>
      </c>
    </row>
    <row r="2" spans="2:28" s="178" customFormat="1" ht="62.25" customHeight="1" x14ac:dyDescent="0.2">
      <c r="B2" s="215"/>
      <c r="C2" s="66" t="s">
        <v>150</v>
      </c>
      <c r="D2" s="66" t="s">
        <v>151</v>
      </c>
      <c r="E2" s="66" t="s">
        <v>152</v>
      </c>
      <c r="F2" s="66" t="s">
        <v>103</v>
      </c>
      <c r="G2" s="66" t="s">
        <v>153</v>
      </c>
      <c r="H2" s="66" t="s">
        <v>154</v>
      </c>
      <c r="I2" s="66" t="s">
        <v>155</v>
      </c>
      <c r="J2" s="66" t="s">
        <v>19</v>
      </c>
      <c r="K2" s="66" t="s">
        <v>160</v>
      </c>
      <c r="L2" s="66" t="s">
        <v>156</v>
      </c>
      <c r="M2" s="66" t="s">
        <v>20</v>
      </c>
      <c r="N2" s="66" t="s">
        <v>157</v>
      </c>
      <c r="O2" s="66" t="s">
        <v>158</v>
      </c>
      <c r="P2" s="66" t="s">
        <v>159</v>
      </c>
      <c r="Q2" s="66" t="s">
        <v>32</v>
      </c>
      <c r="R2" s="216" t="s">
        <v>0</v>
      </c>
    </row>
    <row r="3" spans="2:28" s="178" customFormat="1" hidden="1" x14ac:dyDescent="0.2">
      <c r="B3" s="217">
        <v>39995</v>
      </c>
      <c r="C3" s="3">
        <v>38058</v>
      </c>
      <c r="D3" s="3">
        <v>6774</v>
      </c>
      <c r="E3" s="3">
        <v>52315</v>
      </c>
      <c r="F3" s="3"/>
      <c r="G3" s="63">
        <v>70356</v>
      </c>
      <c r="H3" s="3">
        <v>0</v>
      </c>
      <c r="I3" s="3"/>
      <c r="J3" s="3">
        <v>393</v>
      </c>
      <c r="K3" s="3">
        <v>259609</v>
      </c>
      <c r="L3" s="3"/>
      <c r="M3" s="3">
        <v>18285</v>
      </c>
      <c r="N3" s="3">
        <v>7745</v>
      </c>
      <c r="O3" s="3"/>
      <c r="P3" s="3">
        <v>3930</v>
      </c>
      <c r="Q3" s="3">
        <v>15434</v>
      </c>
      <c r="R3" s="218">
        <f t="shared" ref="R3:R13" si="0">SUM(C3:Q3)</f>
        <v>472899</v>
      </c>
    </row>
    <row r="4" spans="2:28" s="178" customFormat="1" hidden="1" x14ac:dyDescent="0.2">
      <c r="B4" s="217">
        <v>40026</v>
      </c>
      <c r="C4" s="3">
        <v>38306</v>
      </c>
      <c r="D4" s="3">
        <v>6863</v>
      </c>
      <c r="E4" s="3">
        <v>52573</v>
      </c>
      <c r="F4" s="3"/>
      <c r="G4" s="63">
        <v>71467</v>
      </c>
      <c r="H4" s="65">
        <v>0</v>
      </c>
      <c r="I4" s="3"/>
      <c r="J4" s="3">
        <v>395</v>
      </c>
      <c r="K4" s="3">
        <v>263415</v>
      </c>
      <c r="L4" s="3"/>
      <c r="M4" s="3">
        <v>18325</v>
      </c>
      <c r="N4" s="3">
        <v>7849</v>
      </c>
      <c r="O4" s="3"/>
      <c r="P4" s="3">
        <v>3835</v>
      </c>
      <c r="Q4" s="3">
        <v>15522</v>
      </c>
      <c r="R4" s="218">
        <f t="shared" si="0"/>
        <v>478550</v>
      </c>
    </row>
    <row r="5" spans="2:28" s="178" customFormat="1" hidden="1" x14ac:dyDescent="0.2">
      <c r="B5" s="217">
        <v>40057</v>
      </c>
      <c r="C5" s="3">
        <v>38346</v>
      </c>
      <c r="D5" s="3">
        <v>6945</v>
      </c>
      <c r="E5" s="3">
        <v>52710</v>
      </c>
      <c r="F5" s="3"/>
      <c r="G5" s="63">
        <v>72192</v>
      </c>
      <c r="H5" s="65">
        <v>0</v>
      </c>
      <c r="I5" s="3"/>
      <c r="J5" s="3">
        <v>402</v>
      </c>
      <c r="K5" s="3">
        <v>266381</v>
      </c>
      <c r="L5" s="3"/>
      <c r="M5" s="3">
        <v>18200</v>
      </c>
      <c r="N5" s="3">
        <v>7775</v>
      </c>
      <c r="O5" s="3"/>
      <c r="P5" s="3">
        <v>3724</v>
      </c>
      <c r="Q5" s="3">
        <v>15513</v>
      </c>
      <c r="R5" s="218">
        <f t="shared" si="0"/>
        <v>482188</v>
      </c>
    </row>
    <row r="6" spans="2:28" s="178" customFormat="1" hidden="1" x14ac:dyDescent="0.2">
      <c r="B6" s="217">
        <v>40087</v>
      </c>
      <c r="C6" s="3">
        <v>38480</v>
      </c>
      <c r="D6" s="3">
        <v>6985</v>
      </c>
      <c r="E6" s="3">
        <v>52847</v>
      </c>
      <c r="F6" s="3"/>
      <c r="G6" s="63">
        <v>73474</v>
      </c>
      <c r="H6" s="65">
        <v>0</v>
      </c>
      <c r="I6" s="3"/>
      <c r="J6" s="3">
        <v>406</v>
      </c>
      <c r="K6" s="3">
        <v>270514</v>
      </c>
      <c r="L6" s="3"/>
      <c r="M6" s="3">
        <v>18169</v>
      </c>
      <c r="N6" s="3">
        <v>7713</v>
      </c>
      <c r="O6" s="3"/>
      <c r="P6" s="3">
        <v>3650</v>
      </c>
      <c r="Q6" s="3">
        <v>15638</v>
      </c>
      <c r="R6" s="218">
        <f t="shared" si="0"/>
        <v>487876</v>
      </c>
    </row>
    <row r="7" spans="2:28" s="178" customFormat="1" hidden="1" x14ac:dyDescent="0.2">
      <c r="B7" s="217">
        <v>40118</v>
      </c>
      <c r="C7" s="3">
        <v>38387</v>
      </c>
      <c r="D7" s="3">
        <v>6986</v>
      </c>
      <c r="E7" s="3">
        <v>52982</v>
      </c>
      <c r="F7" s="3"/>
      <c r="G7" s="63">
        <v>73957</v>
      </c>
      <c r="H7" s="65">
        <v>0</v>
      </c>
      <c r="I7" s="3"/>
      <c r="J7" s="3">
        <v>418</v>
      </c>
      <c r="K7" s="3">
        <v>272453</v>
      </c>
      <c r="L7" s="3"/>
      <c r="M7" s="3">
        <v>17992</v>
      </c>
      <c r="N7" s="3">
        <v>7674</v>
      </c>
      <c r="O7" s="3"/>
      <c r="P7" s="3">
        <v>3644</v>
      </c>
      <c r="Q7" s="3">
        <v>15743</v>
      </c>
      <c r="R7" s="218">
        <f t="shared" si="0"/>
        <v>490236</v>
      </c>
    </row>
    <row r="8" spans="2:28" s="178" customFormat="1" hidden="1" x14ac:dyDescent="0.2">
      <c r="B8" s="217">
        <v>40148</v>
      </c>
      <c r="C8" s="3">
        <v>38410</v>
      </c>
      <c r="D8" s="3">
        <v>7025</v>
      </c>
      <c r="E8" s="3">
        <v>53000</v>
      </c>
      <c r="F8" s="3"/>
      <c r="G8" s="63">
        <v>75120</v>
      </c>
      <c r="H8" s="65">
        <v>0</v>
      </c>
      <c r="I8" s="3"/>
      <c r="J8" s="3">
        <v>411</v>
      </c>
      <c r="K8" s="3">
        <v>275867</v>
      </c>
      <c r="L8" s="3"/>
      <c r="M8" s="3">
        <v>18371</v>
      </c>
      <c r="N8" s="3">
        <v>7627</v>
      </c>
      <c r="O8" s="3"/>
      <c r="P8" s="3">
        <v>3632</v>
      </c>
      <c r="Q8" s="3">
        <v>15846</v>
      </c>
      <c r="R8" s="218">
        <f t="shared" si="0"/>
        <v>495309</v>
      </c>
    </row>
    <row r="9" spans="2:28" s="178" customFormat="1" hidden="1" x14ac:dyDescent="0.2">
      <c r="B9" s="217">
        <v>40179</v>
      </c>
      <c r="C9" s="3">
        <v>38452</v>
      </c>
      <c r="D9" s="3">
        <v>7047</v>
      </c>
      <c r="E9" s="3">
        <v>53255</v>
      </c>
      <c r="F9" s="3"/>
      <c r="G9" s="63">
        <v>76403</v>
      </c>
      <c r="H9" s="65">
        <v>0</v>
      </c>
      <c r="I9" s="3"/>
      <c r="J9" s="3">
        <v>416</v>
      </c>
      <c r="K9" s="3">
        <v>279000</v>
      </c>
      <c r="L9" s="3"/>
      <c r="M9" s="3">
        <v>18400</v>
      </c>
      <c r="N9" s="3">
        <v>7796</v>
      </c>
      <c r="O9" s="3"/>
      <c r="P9" s="3">
        <v>3610</v>
      </c>
      <c r="Q9" s="3">
        <v>15954</v>
      </c>
      <c r="R9" s="218">
        <f t="shared" si="0"/>
        <v>500333</v>
      </c>
    </row>
    <row r="10" spans="2:28" s="178" customFormat="1" hidden="1" x14ac:dyDescent="0.2">
      <c r="B10" s="217">
        <v>40210</v>
      </c>
      <c r="C10" s="3">
        <v>38432</v>
      </c>
      <c r="D10" s="3">
        <v>7049</v>
      </c>
      <c r="E10" s="3">
        <v>53298</v>
      </c>
      <c r="F10" s="3"/>
      <c r="G10" s="63">
        <v>77214</v>
      </c>
      <c r="H10" s="65">
        <v>0</v>
      </c>
      <c r="I10" s="3"/>
      <c r="J10" s="3">
        <v>431</v>
      </c>
      <c r="K10" s="3">
        <v>279898</v>
      </c>
      <c r="L10" s="3"/>
      <c r="M10" s="3">
        <v>18467</v>
      </c>
      <c r="N10" s="3">
        <v>7779</v>
      </c>
      <c r="O10" s="3"/>
      <c r="P10" s="3">
        <v>3550</v>
      </c>
      <c r="Q10" s="3">
        <v>16076</v>
      </c>
      <c r="R10" s="218">
        <f t="shared" si="0"/>
        <v>502194</v>
      </c>
    </row>
    <row r="11" spans="2:28" s="178" customFormat="1" hidden="1" x14ac:dyDescent="0.2">
      <c r="B11" s="217">
        <v>40238</v>
      </c>
      <c r="C11" s="3">
        <v>38597</v>
      </c>
      <c r="D11" s="3">
        <v>7152</v>
      </c>
      <c r="E11" s="3">
        <v>53629</v>
      </c>
      <c r="F11" s="3"/>
      <c r="G11" s="63">
        <v>79286</v>
      </c>
      <c r="H11" s="65">
        <v>0</v>
      </c>
      <c r="I11" s="3"/>
      <c r="J11" s="3">
        <v>449</v>
      </c>
      <c r="K11" s="3">
        <v>283625</v>
      </c>
      <c r="L11" s="3"/>
      <c r="M11" s="3">
        <v>18486</v>
      </c>
      <c r="N11" s="3">
        <v>7996</v>
      </c>
      <c r="O11" s="3"/>
      <c r="P11" s="3">
        <v>3768</v>
      </c>
      <c r="Q11" s="3">
        <v>16212</v>
      </c>
      <c r="R11" s="218">
        <f t="shared" si="0"/>
        <v>509200</v>
      </c>
    </row>
    <row r="12" spans="2:28" s="178" customFormat="1" hidden="1" x14ac:dyDescent="0.2">
      <c r="B12" s="217">
        <v>40269</v>
      </c>
      <c r="C12" s="3">
        <v>38727</v>
      </c>
      <c r="D12" s="3">
        <v>7212</v>
      </c>
      <c r="E12" s="3">
        <v>53904</v>
      </c>
      <c r="F12" s="3"/>
      <c r="G12" s="63">
        <v>80192</v>
      </c>
      <c r="H12" s="65">
        <v>0</v>
      </c>
      <c r="I12" s="3"/>
      <c r="J12" s="3">
        <v>452</v>
      </c>
      <c r="K12" s="3">
        <v>285746</v>
      </c>
      <c r="L12" s="3"/>
      <c r="M12" s="3">
        <v>18552</v>
      </c>
      <c r="N12" s="3">
        <v>8054</v>
      </c>
      <c r="O12" s="3"/>
      <c r="P12" s="3">
        <v>3831</v>
      </c>
      <c r="Q12" s="3">
        <v>16308</v>
      </c>
      <c r="R12" s="218">
        <f t="shared" si="0"/>
        <v>512978</v>
      </c>
    </row>
    <row r="13" spans="2:28" s="178" customFormat="1" hidden="1" x14ac:dyDescent="0.2">
      <c r="B13" s="217">
        <v>40299</v>
      </c>
      <c r="C13" s="3">
        <v>38754</v>
      </c>
      <c r="D13" s="3">
        <v>7228</v>
      </c>
      <c r="E13" s="3">
        <v>54164</v>
      </c>
      <c r="F13" s="3"/>
      <c r="G13" s="63">
        <v>75804</v>
      </c>
      <c r="H13" s="63">
        <v>18253</v>
      </c>
      <c r="I13" s="3"/>
      <c r="J13" s="3">
        <v>455</v>
      </c>
      <c r="K13" s="3">
        <v>285779</v>
      </c>
      <c r="L13" s="3"/>
      <c r="M13" s="3">
        <v>18651</v>
      </c>
      <c r="N13" s="3">
        <v>8039</v>
      </c>
      <c r="O13" s="3"/>
      <c r="P13" s="3">
        <v>3615</v>
      </c>
      <c r="Q13" s="3">
        <v>16285</v>
      </c>
      <c r="R13" s="218">
        <f t="shared" si="0"/>
        <v>527027</v>
      </c>
    </row>
    <row r="14" spans="2:28" s="178" customFormat="1" hidden="1" x14ac:dyDescent="0.2">
      <c r="B14" s="217">
        <v>40330</v>
      </c>
      <c r="C14" s="3">
        <v>38900</v>
      </c>
      <c r="D14" s="3">
        <v>7326</v>
      </c>
      <c r="E14" s="3">
        <v>54493</v>
      </c>
      <c r="F14" s="3"/>
      <c r="G14" s="63">
        <v>72608</v>
      </c>
      <c r="H14" s="63">
        <v>20607</v>
      </c>
      <c r="I14" s="3"/>
      <c r="J14" s="3">
        <v>466</v>
      </c>
      <c r="K14" s="3">
        <v>285778</v>
      </c>
      <c r="L14" s="3"/>
      <c r="M14" s="3">
        <v>18678</v>
      </c>
      <c r="N14" s="3">
        <v>7903</v>
      </c>
      <c r="O14" s="3"/>
      <c r="P14" s="3">
        <v>3522</v>
      </c>
      <c r="Q14" s="3">
        <v>16495</v>
      </c>
      <c r="R14" s="218">
        <f>SUM(C14:Q14)</f>
        <v>526776</v>
      </c>
    </row>
    <row r="15" spans="2:28" s="180" customFormat="1" hidden="1" x14ac:dyDescent="0.2">
      <c r="B15" s="219" t="s">
        <v>97</v>
      </c>
      <c r="C15" s="7">
        <f t="shared" ref="C15:M15" si="1">ROUND(AVERAGE(C3:C14),0)</f>
        <v>38487</v>
      </c>
      <c r="D15" s="7">
        <f t="shared" si="1"/>
        <v>7049</v>
      </c>
      <c r="E15" s="7">
        <f t="shared" si="1"/>
        <v>53264</v>
      </c>
      <c r="F15" s="7"/>
      <c r="G15" s="7">
        <f t="shared" si="1"/>
        <v>74839</v>
      </c>
      <c r="H15" s="7">
        <f t="shared" si="1"/>
        <v>3238</v>
      </c>
      <c r="I15" s="7"/>
      <c r="J15" s="7">
        <f>ROUND(AVERAGE(J3:J14),0)</f>
        <v>425</v>
      </c>
      <c r="K15" s="7">
        <f>ROUND(AVERAGE(K3:K14),0)</f>
        <v>275672</v>
      </c>
      <c r="L15" s="7"/>
      <c r="M15" s="7">
        <f t="shared" si="1"/>
        <v>18381</v>
      </c>
      <c r="N15" s="7">
        <f>ROUNDUP(AVERAGE(N3:N14),0)</f>
        <v>7830</v>
      </c>
      <c r="O15" s="7"/>
      <c r="P15" s="7">
        <f>ROUND(AVERAGE(P3:P14),0)</f>
        <v>3693</v>
      </c>
      <c r="Q15" s="7">
        <f>ROUND(AVERAGE(Q3:Q14),0)</f>
        <v>15919</v>
      </c>
      <c r="R15" s="220">
        <f>SUM(C15:Q15)</f>
        <v>498797</v>
      </c>
    </row>
    <row r="16" spans="2:28" s="178" customFormat="1" hidden="1" x14ac:dyDescent="0.2">
      <c r="B16" s="217">
        <v>40360</v>
      </c>
      <c r="C16" s="3"/>
      <c r="D16" s="3">
        <v>7395</v>
      </c>
      <c r="E16" s="4">
        <v>54740</v>
      </c>
      <c r="F16" s="4">
        <v>0</v>
      </c>
      <c r="G16" s="63">
        <v>73769</v>
      </c>
      <c r="H16" s="63">
        <v>21446</v>
      </c>
      <c r="I16" s="4">
        <v>0</v>
      </c>
      <c r="J16" s="3">
        <v>471</v>
      </c>
      <c r="K16" s="4">
        <v>287674</v>
      </c>
      <c r="L16" s="4">
        <v>0</v>
      </c>
      <c r="M16" s="3">
        <v>18628</v>
      </c>
      <c r="N16" s="3">
        <v>7909</v>
      </c>
      <c r="O16" s="4">
        <v>0</v>
      </c>
      <c r="P16" s="3">
        <v>3492</v>
      </c>
      <c r="Q16" s="4">
        <v>16539</v>
      </c>
      <c r="R16" s="218">
        <f t="shared" ref="R16:R40" si="2">SUM(C16:Q16)</f>
        <v>492063</v>
      </c>
    </row>
    <row r="17" spans="2:18" s="178" customFormat="1" hidden="1" x14ac:dyDescent="0.2">
      <c r="B17" s="217">
        <v>40391</v>
      </c>
      <c r="C17" s="3">
        <v>38648</v>
      </c>
      <c r="D17" s="3">
        <v>7492</v>
      </c>
      <c r="E17" s="4">
        <v>55032</v>
      </c>
      <c r="F17" s="4">
        <v>0</v>
      </c>
      <c r="G17" s="63">
        <v>75863</v>
      </c>
      <c r="H17" s="63">
        <v>24193</v>
      </c>
      <c r="I17" s="4">
        <v>0</v>
      </c>
      <c r="J17" s="3">
        <v>493</v>
      </c>
      <c r="K17" s="4">
        <f>218121+72750</f>
        <v>290871</v>
      </c>
      <c r="L17" s="4">
        <v>0</v>
      </c>
      <c r="M17" s="3">
        <v>18455</v>
      </c>
      <c r="N17" s="3">
        <f>7448+566</f>
        <v>8014</v>
      </c>
      <c r="O17" s="4">
        <v>0</v>
      </c>
      <c r="P17" s="3">
        <v>3378</v>
      </c>
      <c r="Q17" s="4">
        <f>11132+5502</f>
        <v>16634</v>
      </c>
      <c r="R17" s="218">
        <f t="shared" si="2"/>
        <v>539073</v>
      </c>
    </row>
    <row r="18" spans="2:18" s="178" customFormat="1" hidden="1" x14ac:dyDescent="0.2">
      <c r="B18" s="217">
        <v>40422</v>
      </c>
      <c r="C18" s="3">
        <v>38774</v>
      </c>
      <c r="D18" s="3">
        <v>7562</v>
      </c>
      <c r="E18" s="4">
        <v>55223</v>
      </c>
      <c r="F18" s="4">
        <v>0</v>
      </c>
      <c r="G18" s="63">
        <v>76255</v>
      </c>
      <c r="H18" s="63">
        <v>25071</v>
      </c>
      <c r="I18" s="4">
        <v>0</v>
      </c>
      <c r="J18" s="3">
        <v>503</v>
      </c>
      <c r="K18" s="4">
        <f>223315+68277</f>
        <v>291592</v>
      </c>
      <c r="L18" s="4">
        <v>0</v>
      </c>
      <c r="M18" s="3">
        <v>18451</v>
      </c>
      <c r="N18" s="3">
        <f>7410+561</f>
        <v>7971</v>
      </c>
      <c r="O18" s="4">
        <v>0</v>
      </c>
      <c r="P18" s="3">
        <v>3231</v>
      </c>
      <c r="Q18" s="4">
        <f>11140+5512</f>
        <v>16652</v>
      </c>
      <c r="R18" s="218">
        <f t="shared" si="2"/>
        <v>541285</v>
      </c>
    </row>
    <row r="19" spans="2:18" s="178" customFormat="1" hidden="1" x14ac:dyDescent="0.2">
      <c r="B19" s="217">
        <v>40452</v>
      </c>
      <c r="C19" s="3">
        <v>38901</v>
      </c>
      <c r="D19" s="3">
        <v>7602</v>
      </c>
      <c r="E19" s="4">
        <v>55508</v>
      </c>
      <c r="F19" s="4">
        <v>0</v>
      </c>
      <c r="G19" s="63">
        <v>77291</v>
      </c>
      <c r="H19" s="63">
        <v>26016</v>
      </c>
      <c r="I19" s="4">
        <v>0</v>
      </c>
      <c r="J19" s="3">
        <v>505</v>
      </c>
      <c r="K19" s="4">
        <v>294155</v>
      </c>
      <c r="L19" s="4">
        <v>0</v>
      </c>
      <c r="M19" s="3">
        <v>18464</v>
      </c>
      <c r="N19" s="3">
        <v>7985</v>
      </c>
      <c r="O19" s="4">
        <v>0</v>
      </c>
      <c r="P19" s="3">
        <v>3080</v>
      </c>
      <c r="Q19" s="4">
        <v>16794</v>
      </c>
      <c r="R19" s="218">
        <f t="shared" si="2"/>
        <v>546301</v>
      </c>
    </row>
    <row r="20" spans="2:18" s="178" customFormat="1" hidden="1" x14ac:dyDescent="0.2">
      <c r="B20" s="217">
        <v>40483</v>
      </c>
      <c r="C20" s="3">
        <v>39009</v>
      </c>
      <c r="D20" s="3">
        <v>7682</v>
      </c>
      <c r="E20" s="4">
        <v>55804</v>
      </c>
      <c r="F20" s="4">
        <v>0</v>
      </c>
      <c r="G20" s="63">
        <v>78278</v>
      </c>
      <c r="H20" s="63">
        <v>26924</v>
      </c>
      <c r="I20" s="4">
        <v>0</v>
      </c>
      <c r="J20" s="3">
        <v>511</v>
      </c>
      <c r="K20" s="4">
        <v>296482</v>
      </c>
      <c r="L20" s="4">
        <v>0</v>
      </c>
      <c r="M20" s="3">
        <v>18597</v>
      </c>
      <c r="N20" s="3">
        <v>7891</v>
      </c>
      <c r="O20" s="4">
        <v>0</v>
      </c>
      <c r="P20" s="3">
        <v>3049</v>
      </c>
      <c r="Q20" s="4">
        <v>16941</v>
      </c>
      <c r="R20" s="218">
        <f t="shared" si="2"/>
        <v>551168</v>
      </c>
    </row>
    <row r="21" spans="2:18" s="178" customFormat="1" hidden="1" x14ac:dyDescent="0.2">
      <c r="B21" s="217">
        <v>40513</v>
      </c>
      <c r="C21" s="3">
        <v>38769</v>
      </c>
      <c r="D21" s="3">
        <v>7721</v>
      </c>
      <c r="E21" s="4">
        <v>55937</v>
      </c>
      <c r="F21" s="4">
        <v>0</v>
      </c>
      <c r="G21" s="63">
        <v>79773</v>
      </c>
      <c r="H21" s="63">
        <v>27596</v>
      </c>
      <c r="I21" s="4">
        <v>0</v>
      </c>
      <c r="J21" s="3">
        <v>526</v>
      </c>
      <c r="K21" s="4">
        <v>299499</v>
      </c>
      <c r="L21" s="4">
        <v>0</v>
      </c>
      <c r="M21" s="3">
        <v>18510</v>
      </c>
      <c r="N21" s="3">
        <v>7764</v>
      </c>
      <c r="O21" s="4">
        <v>0</v>
      </c>
      <c r="P21" s="3">
        <v>3023</v>
      </c>
      <c r="Q21" s="3">
        <v>17002</v>
      </c>
      <c r="R21" s="218">
        <f t="shared" si="2"/>
        <v>556120</v>
      </c>
    </row>
    <row r="22" spans="2:18" s="178" customFormat="1" hidden="1" x14ac:dyDescent="0.2">
      <c r="B22" s="217">
        <v>40544</v>
      </c>
      <c r="C22" s="3">
        <v>38813</v>
      </c>
      <c r="D22" s="3">
        <v>7781</v>
      </c>
      <c r="E22" s="4">
        <v>56417</v>
      </c>
      <c r="F22" s="4">
        <v>0</v>
      </c>
      <c r="G22" s="64">
        <v>82824</v>
      </c>
      <c r="H22" s="63">
        <v>27188</v>
      </c>
      <c r="I22" s="3">
        <v>0</v>
      </c>
      <c r="J22" s="3">
        <v>532</v>
      </c>
      <c r="K22" s="4">
        <v>304042</v>
      </c>
      <c r="L22" s="3">
        <v>0</v>
      </c>
      <c r="M22" s="3">
        <v>18386</v>
      </c>
      <c r="N22" s="3">
        <v>7806</v>
      </c>
      <c r="O22" s="3">
        <v>0</v>
      </c>
      <c r="P22" s="3">
        <v>3116</v>
      </c>
      <c r="Q22" s="3">
        <v>17210</v>
      </c>
      <c r="R22" s="218">
        <f t="shared" si="2"/>
        <v>564115</v>
      </c>
    </row>
    <row r="23" spans="2:18" s="178" customFormat="1" hidden="1" x14ac:dyDescent="0.2">
      <c r="B23" s="217">
        <v>40575</v>
      </c>
      <c r="C23" s="3">
        <v>38823</v>
      </c>
      <c r="D23" s="3">
        <v>7870</v>
      </c>
      <c r="E23" s="3">
        <v>56671</v>
      </c>
      <c r="F23" s="3">
        <v>0</v>
      </c>
      <c r="G23" s="63">
        <v>83547</v>
      </c>
      <c r="H23" s="63">
        <v>28323</v>
      </c>
      <c r="I23" s="3">
        <v>0</v>
      </c>
      <c r="J23" s="3">
        <v>535</v>
      </c>
      <c r="K23" s="3">
        <v>307032</v>
      </c>
      <c r="L23" s="3">
        <v>0</v>
      </c>
      <c r="M23" s="3">
        <v>18200</v>
      </c>
      <c r="N23" s="3">
        <v>7677</v>
      </c>
      <c r="O23" s="3">
        <v>0</v>
      </c>
      <c r="P23" s="3">
        <v>3161</v>
      </c>
      <c r="Q23" s="3">
        <v>17249</v>
      </c>
      <c r="R23" s="218">
        <f t="shared" si="2"/>
        <v>569088</v>
      </c>
    </row>
    <row r="24" spans="2:18" s="178" customFormat="1" hidden="1" x14ac:dyDescent="0.2">
      <c r="B24" s="217">
        <v>40603</v>
      </c>
      <c r="C24" s="3">
        <v>38939</v>
      </c>
      <c r="D24" s="3">
        <v>7966</v>
      </c>
      <c r="E24" s="4">
        <v>57103</v>
      </c>
      <c r="F24" s="4">
        <v>0</v>
      </c>
      <c r="G24" s="63">
        <v>85574</v>
      </c>
      <c r="H24" s="63">
        <v>28968</v>
      </c>
      <c r="I24" s="4">
        <v>0</v>
      </c>
      <c r="J24" s="3">
        <v>556</v>
      </c>
      <c r="K24" s="4">
        <v>312300</v>
      </c>
      <c r="L24" s="4">
        <v>0</v>
      </c>
      <c r="M24" s="3">
        <v>18244</v>
      </c>
      <c r="N24" s="3">
        <v>7881</v>
      </c>
      <c r="O24" s="4">
        <v>0</v>
      </c>
      <c r="P24" s="3">
        <v>3271</v>
      </c>
      <c r="Q24" s="4">
        <v>17390</v>
      </c>
      <c r="R24" s="218">
        <f t="shared" si="2"/>
        <v>578192</v>
      </c>
    </row>
    <row r="25" spans="2:18" s="178" customFormat="1" hidden="1" x14ac:dyDescent="0.2">
      <c r="B25" s="217">
        <v>40634</v>
      </c>
      <c r="C25" s="3">
        <v>38861</v>
      </c>
      <c r="D25" s="3">
        <v>7987</v>
      </c>
      <c r="E25" s="4">
        <v>57385</v>
      </c>
      <c r="F25" s="4">
        <v>0</v>
      </c>
      <c r="G25" s="63">
        <v>85763</v>
      </c>
      <c r="H25" s="63">
        <v>29451</v>
      </c>
      <c r="I25" s="4">
        <v>0</v>
      </c>
      <c r="J25" s="3">
        <v>569</v>
      </c>
      <c r="K25" s="4">
        <v>312603</v>
      </c>
      <c r="L25" s="4">
        <v>0</v>
      </c>
      <c r="M25" s="3">
        <v>18280</v>
      </c>
      <c r="N25" s="3">
        <v>7864</v>
      </c>
      <c r="O25" s="4">
        <v>0</v>
      </c>
      <c r="P25" s="3">
        <v>3274</v>
      </c>
      <c r="Q25" s="4">
        <v>17399</v>
      </c>
      <c r="R25" s="218">
        <f t="shared" si="2"/>
        <v>579436</v>
      </c>
    </row>
    <row r="26" spans="2:18" s="178" customFormat="1" hidden="1" x14ac:dyDescent="0.2">
      <c r="B26" s="217">
        <v>40664</v>
      </c>
      <c r="C26" s="3">
        <v>38981</v>
      </c>
      <c r="D26" s="3">
        <v>8051</v>
      </c>
      <c r="E26" s="4">
        <v>57608</v>
      </c>
      <c r="F26" s="4">
        <v>0</v>
      </c>
      <c r="G26" s="63">
        <v>86596</v>
      </c>
      <c r="H26" s="63">
        <v>30102</v>
      </c>
      <c r="I26" s="4">
        <v>0</v>
      </c>
      <c r="J26" s="3">
        <v>587</v>
      </c>
      <c r="K26" s="4">
        <v>315116</v>
      </c>
      <c r="L26" s="4">
        <v>0</v>
      </c>
      <c r="M26" s="3">
        <v>18279</v>
      </c>
      <c r="N26" s="3">
        <v>7830</v>
      </c>
      <c r="O26" s="4">
        <v>0</v>
      </c>
      <c r="P26" s="3">
        <v>3255</v>
      </c>
      <c r="Q26" s="4">
        <v>17546</v>
      </c>
      <c r="R26" s="218">
        <f t="shared" si="2"/>
        <v>583951</v>
      </c>
    </row>
    <row r="27" spans="2:18" s="178" customFormat="1" hidden="1" x14ac:dyDescent="0.2">
      <c r="B27" s="217">
        <v>40695</v>
      </c>
      <c r="C27" s="3">
        <v>39154</v>
      </c>
      <c r="D27" s="3">
        <v>8089</v>
      </c>
      <c r="E27" s="4">
        <v>57986</v>
      </c>
      <c r="F27" s="4">
        <v>0</v>
      </c>
      <c r="G27" s="63">
        <v>87827</v>
      </c>
      <c r="H27" s="63">
        <v>30724</v>
      </c>
      <c r="I27" s="4">
        <v>0</v>
      </c>
      <c r="J27" s="3">
        <v>589</v>
      </c>
      <c r="K27" s="4">
        <v>317551</v>
      </c>
      <c r="L27" s="4">
        <v>0</v>
      </c>
      <c r="M27" s="3">
        <v>18221</v>
      </c>
      <c r="N27" s="3">
        <v>7828</v>
      </c>
      <c r="O27" s="4">
        <v>0</v>
      </c>
      <c r="P27" s="3">
        <v>3229</v>
      </c>
      <c r="Q27" s="4">
        <v>17727</v>
      </c>
      <c r="R27" s="218">
        <f t="shared" si="2"/>
        <v>588925</v>
      </c>
    </row>
    <row r="28" spans="2:18" s="180" customFormat="1" hidden="1" x14ac:dyDescent="0.2">
      <c r="B28" s="219" t="s">
        <v>102</v>
      </c>
      <c r="C28" s="7">
        <f>ROUND(AVERAGE(C16:C27),0)</f>
        <v>38879</v>
      </c>
      <c r="D28" s="7">
        <f t="shared" ref="D28:P28" si="3">ROUND(AVERAGE(D16:D27),0)</f>
        <v>7767</v>
      </c>
      <c r="E28" s="7">
        <f t="shared" si="3"/>
        <v>56285</v>
      </c>
      <c r="F28" s="7">
        <v>0</v>
      </c>
      <c r="G28" s="7">
        <f>ROUND(AVERAGE(G16:G27),0)+1</f>
        <v>81114</v>
      </c>
      <c r="H28" s="7">
        <f t="shared" si="3"/>
        <v>27167</v>
      </c>
      <c r="I28" s="7">
        <v>0</v>
      </c>
      <c r="J28" s="7">
        <f>ROUND(AVERAGE(J16:J27),0)</f>
        <v>531</v>
      </c>
      <c r="K28" s="7">
        <f>ROUND(AVERAGE(K16:K27),0)</f>
        <v>302410</v>
      </c>
      <c r="L28" s="7">
        <v>0</v>
      </c>
      <c r="M28" s="7">
        <f t="shared" si="3"/>
        <v>18393</v>
      </c>
      <c r="N28" s="7">
        <f t="shared" si="3"/>
        <v>7868</v>
      </c>
      <c r="O28" s="7">
        <v>0</v>
      </c>
      <c r="P28" s="7">
        <f t="shared" si="3"/>
        <v>3213</v>
      </c>
      <c r="Q28" s="7">
        <f>ROUND(AVERAGE(Q16:Q27),0)</f>
        <v>17090</v>
      </c>
      <c r="R28" s="220">
        <f>SUM(C28:Q28)</f>
        <v>560717</v>
      </c>
    </row>
    <row r="29" spans="2:18" s="180" customFormat="1" hidden="1" x14ac:dyDescent="0.2">
      <c r="B29" s="217">
        <v>40725</v>
      </c>
      <c r="C29" s="3">
        <v>39341</v>
      </c>
      <c r="D29" s="3">
        <v>8133</v>
      </c>
      <c r="E29" s="3">
        <v>58294</v>
      </c>
      <c r="F29" s="3">
        <v>0</v>
      </c>
      <c r="G29" s="63">
        <v>87556</v>
      </c>
      <c r="H29" s="63">
        <v>31920</v>
      </c>
      <c r="I29" s="3">
        <v>0</v>
      </c>
      <c r="J29" s="3">
        <v>587</v>
      </c>
      <c r="K29" s="3">
        <v>319065</v>
      </c>
      <c r="L29" s="3">
        <v>0</v>
      </c>
      <c r="M29" s="3">
        <v>18125</v>
      </c>
      <c r="N29" s="3">
        <v>7810</v>
      </c>
      <c r="O29" s="3">
        <v>0</v>
      </c>
      <c r="P29" s="3">
        <v>3089</v>
      </c>
      <c r="Q29" s="3">
        <v>17923</v>
      </c>
      <c r="R29" s="218">
        <f t="shared" si="2"/>
        <v>591843</v>
      </c>
    </row>
    <row r="30" spans="2:18" s="180" customFormat="1" hidden="1" x14ac:dyDescent="0.2">
      <c r="B30" s="217">
        <v>40756</v>
      </c>
      <c r="C30" s="3">
        <v>39537</v>
      </c>
      <c r="D30" s="3">
        <v>8222</v>
      </c>
      <c r="E30" s="3">
        <v>58712</v>
      </c>
      <c r="F30" s="3">
        <v>0</v>
      </c>
      <c r="G30" s="63">
        <v>88518</v>
      </c>
      <c r="H30" s="63">
        <v>32462</v>
      </c>
      <c r="I30" s="3">
        <v>0</v>
      </c>
      <c r="J30" s="3">
        <v>586</v>
      </c>
      <c r="K30" s="3">
        <v>322779</v>
      </c>
      <c r="L30" s="3">
        <v>0</v>
      </c>
      <c r="M30" s="3">
        <v>18084</v>
      </c>
      <c r="N30" s="3">
        <v>7786</v>
      </c>
      <c r="O30" s="3">
        <v>0</v>
      </c>
      <c r="P30" s="3">
        <v>2973</v>
      </c>
      <c r="Q30" s="3">
        <v>18046</v>
      </c>
      <c r="R30" s="218">
        <f t="shared" si="2"/>
        <v>597705</v>
      </c>
    </row>
    <row r="31" spans="2:18" s="180" customFormat="1" hidden="1" x14ac:dyDescent="0.2">
      <c r="B31" s="217">
        <v>40787</v>
      </c>
      <c r="C31" s="3">
        <v>39600</v>
      </c>
      <c r="D31" s="3">
        <v>8280</v>
      </c>
      <c r="E31" s="3">
        <v>58937</v>
      </c>
      <c r="F31" s="3">
        <v>0</v>
      </c>
      <c r="G31" s="63">
        <v>90001</v>
      </c>
      <c r="H31" s="63">
        <v>33152</v>
      </c>
      <c r="I31" s="3">
        <v>0</v>
      </c>
      <c r="J31" s="3">
        <v>590</v>
      </c>
      <c r="K31" s="3">
        <v>325673</v>
      </c>
      <c r="L31" s="3">
        <v>0</v>
      </c>
      <c r="M31" s="3">
        <v>18119</v>
      </c>
      <c r="N31" s="3">
        <v>7628</v>
      </c>
      <c r="O31" s="3">
        <v>0</v>
      </c>
      <c r="P31" s="3">
        <v>2774</v>
      </c>
      <c r="Q31" s="3">
        <v>18156</v>
      </c>
      <c r="R31" s="218">
        <f t="shared" si="2"/>
        <v>602910</v>
      </c>
    </row>
    <row r="32" spans="2:18" s="180" customFormat="1" hidden="1" x14ac:dyDescent="0.2">
      <c r="B32" s="217">
        <v>40817</v>
      </c>
      <c r="C32" s="3">
        <v>39697</v>
      </c>
      <c r="D32" s="3">
        <v>8328</v>
      </c>
      <c r="E32" s="3">
        <v>59159</v>
      </c>
      <c r="F32" s="3">
        <v>0</v>
      </c>
      <c r="G32" s="63">
        <v>91662</v>
      </c>
      <c r="H32" s="63">
        <v>33838</v>
      </c>
      <c r="I32" s="3">
        <v>0</v>
      </c>
      <c r="J32" s="3">
        <v>592</v>
      </c>
      <c r="K32" s="3">
        <v>328632</v>
      </c>
      <c r="L32" s="3">
        <v>0</v>
      </c>
      <c r="M32" s="3">
        <v>18096</v>
      </c>
      <c r="N32" s="3">
        <v>7558</v>
      </c>
      <c r="O32" s="3">
        <v>0</v>
      </c>
      <c r="P32" s="3">
        <v>2657</v>
      </c>
      <c r="Q32" s="3">
        <v>18314</v>
      </c>
      <c r="R32" s="218">
        <f t="shared" si="2"/>
        <v>608533</v>
      </c>
    </row>
    <row r="33" spans="1:18" s="180" customFormat="1" hidden="1" x14ac:dyDescent="0.2">
      <c r="B33" s="217">
        <v>40848</v>
      </c>
      <c r="C33" s="3">
        <v>39789</v>
      </c>
      <c r="D33" s="3">
        <v>8343</v>
      </c>
      <c r="E33" s="3">
        <v>59298</v>
      </c>
      <c r="F33" s="3">
        <v>0</v>
      </c>
      <c r="G33" s="63">
        <v>92441</v>
      </c>
      <c r="H33" s="63">
        <v>34915</v>
      </c>
      <c r="I33" s="3">
        <v>0</v>
      </c>
      <c r="J33" s="3">
        <v>602</v>
      </c>
      <c r="K33" s="3">
        <v>332183</v>
      </c>
      <c r="L33" s="3">
        <v>0</v>
      </c>
      <c r="M33" s="3">
        <v>18077</v>
      </c>
      <c r="N33" s="3">
        <v>7371</v>
      </c>
      <c r="O33" s="3">
        <v>0</v>
      </c>
      <c r="P33" s="3">
        <v>2543</v>
      </c>
      <c r="Q33" s="3">
        <v>18584</v>
      </c>
      <c r="R33" s="218">
        <f t="shared" si="2"/>
        <v>614146</v>
      </c>
    </row>
    <row r="34" spans="1:18" s="180" customFormat="1" hidden="1" x14ac:dyDescent="0.2">
      <c r="B34" s="217">
        <v>40878</v>
      </c>
      <c r="C34" s="3">
        <v>39843</v>
      </c>
      <c r="D34" s="3">
        <v>8355</v>
      </c>
      <c r="E34" s="3">
        <v>59384</v>
      </c>
      <c r="F34" s="3">
        <v>0</v>
      </c>
      <c r="G34" s="63">
        <v>94778</v>
      </c>
      <c r="H34" s="63">
        <v>34886</v>
      </c>
      <c r="I34" s="3">
        <v>0</v>
      </c>
      <c r="J34" s="3">
        <v>606</v>
      </c>
      <c r="K34" s="3">
        <v>336053</v>
      </c>
      <c r="L34" s="3">
        <v>0</v>
      </c>
      <c r="M34" s="3">
        <v>18172</v>
      </c>
      <c r="N34" s="3">
        <v>7333</v>
      </c>
      <c r="O34" s="3">
        <v>0</v>
      </c>
      <c r="P34" s="3">
        <v>2591</v>
      </c>
      <c r="Q34" s="3">
        <v>18798</v>
      </c>
      <c r="R34" s="218">
        <f t="shared" si="2"/>
        <v>620799</v>
      </c>
    </row>
    <row r="35" spans="1:18" s="180" customFormat="1" hidden="1" x14ac:dyDescent="0.2">
      <c r="B35" s="217">
        <v>40909</v>
      </c>
      <c r="C35" s="3">
        <v>39742</v>
      </c>
      <c r="D35" s="3">
        <v>8373</v>
      </c>
      <c r="E35" s="3">
        <v>59709</v>
      </c>
      <c r="F35" s="3">
        <v>0</v>
      </c>
      <c r="G35" s="63">
        <v>93523</v>
      </c>
      <c r="H35" s="63">
        <v>35481</v>
      </c>
      <c r="I35" s="3">
        <v>0</v>
      </c>
      <c r="J35" s="3">
        <v>603</v>
      </c>
      <c r="K35" s="3">
        <v>336096</v>
      </c>
      <c r="L35" s="3">
        <v>0</v>
      </c>
      <c r="M35" s="3">
        <v>17968</v>
      </c>
      <c r="N35" s="3">
        <v>7445</v>
      </c>
      <c r="O35" s="3">
        <v>0</v>
      </c>
      <c r="P35" s="3">
        <v>2617</v>
      </c>
      <c r="Q35" s="3">
        <v>18985</v>
      </c>
      <c r="R35" s="218">
        <f t="shared" si="2"/>
        <v>620542</v>
      </c>
    </row>
    <row r="36" spans="1:18" s="180" customFormat="1" hidden="1" x14ac:dyDescent="0.2">
      <c r="B36" s="217">
        <v>40940</v>
      </c>
      <c r="C36" s="3">
        <v>39800</v>
      </c>
      <c r="D36" s="3">
        <v>8401</v>
      </c>
      <c r="E36" s="3">
        <v>59635</v>
      </c>
      <c r="F36" s="3">
        <v>0</v>
      </c>
      <c r="G36" s="63">
        <v>94868</v>
      </c>
      <c r="H36" s="63">
        <v>35962</v>
      </c>
      <c r="I36" s="3">
        <v>0</v>
      </c>
      <c r="J36" s="3">
        <v>604</v>
      </c>
      <c r="K36" s="3">
        <v>339523</v>
      </c>
      <c r="L36" s="3">
        <v>0</v>
      </c>
      <c r="M36" s="3">
        <v>17863</v>
      </c>
      <c r="N36" s="3">
        <v>7594</v>
      </c>
      <c r="O36" s="3">
        <v>0</v>
      </c>
      <c r="P36" s="3">
        <v>2636</v>
      </c>
      <c r="Q36" s="3">
        <v>19220</v>
      </c>
      <c r="R36" s="218">
        <f t="shared" si="2"/>
        <v>626106</v>
      </c>
    </row>
    <row r="37" spans="1:18" s="180" customFormat="1" hidden="1" x14ac:dyDescent="0.2">
      <c r="B37" s="217">
        <v>40969</v>
      </c>
      <c r="C37" s="3">
        <v>39849</v>
      </c>
      <c r="D37" s="3">
        <v>8445</v>
      </c>
      <c r="E37" s="3">
        <v>59847</v>
      </c>
      <c r="F37" s="3">
        <v>51</v>
      </c>
      <c r="G37" s="63">
        <v>97318</v>
      </c>
      <c r="H37" s="63">
        <v>37141</v>
      </c>
      <c r="I37" s="3">
        <v>0</v>
      </c>
      <c r="J37" s="3">
        <v>604</v>
      </c>
      <c r="K37" s="3">
        <v>341274</v>
      </c>
      <c r="L37" s="3">
        <v>0</v>
      </c>
      <c r="M37" s="3">
        <v>17930</v>
      </c>
      <c r="N37" s="3">
        <v>7734</v>
      </c>
      <c r="O37" s="3">
        <v>0</v>
      </c>
      <c r="P37" s="3">
        <v>2852</v>
      </c>
      <c r="Q37" s="3">
        <v>19466</v>
      </c>
      <c r="R37" s="218">
        <f t="shared" si="2"/>
        <v>632511</v>
      </c>
    </row>
    <row r="38" spans="1:18" s="180" customFormat="1" hidden="1" x14ac:dyDescent="0.2">
      <c r="B38" s="217">
        <v>41000</v>
      </c>
      <c r="C38" s="3">
        <v>39837</v>
      </c>
      <c r="D38" s="3">
        <v>8507</v>
      </c>
      <c r="E38" s="3">
        <v>59970</v>
      </c>
      <c r="F38" s="3">
        <v>133</v>
      </c>
      <c r="G38" s="63">
        <v>94317</v>
      </c>
      <c r="H38" s="63">
        <v>37902</v>
      </c>
      <c r="I38" s="3">
        <v>0</v>
      </c>
      <c r="J38" s="3">
        <v>596</v>
      </c>
      <c r="K38" s="3">
        <v>341546</v>
      </c>
      <c r="L38" s="3">
        <v>0</v>
      </c>
      <c r="M38" s="3">
        <v>17944</v>
      </c>
      <c r="N38" s="3">
        <v>7705</v>
      </c>
      <c r="O38" s="3">
        <v>0</v>
      </c>
      <c r="P38" s="3">
        <v>2846</v>
      </c>
      <c r="Q38" s="3">
        <v>19396</v>
      </c>
      <c r="R38" s="218">
        <f t="shared" si="2"/>
        <v>630699</v>
      </c>
    </row>
    <row r="39" spans="1:18" s="180" customFormat="1" hidden="1" x14ac:dyDescent="0.2">
      <c r="B39" s="217">
        <v>41030</v>
      </c>
      <c r="C39" s="3">
        <v>39924</v>
      </c>
      <c r="D39" s="3">
        <v>8600</v>
      </c>
      <c r="E39" s="3">
        <v>60167</v>
      </c>
      <c r="F39" s="3">
        <v>202</v>
      </c>
      <c r="G39" s="63">
        <v>95581</v>
      </c>
      <c r="H39" s="63">
        <v>38955</v>
      </c>
      <c r="I39" s="3">
        <v>5860</v>
      </c>
      <c r="J39" s="3">
        <v>597</v>
      </c>
      <c r="K39" s="3">
        <v>344523</v>
      </c>
      <c r="L39" s="3">
        <v>0</v>
      </c>
      <c r="M39" s="3">
        <v>18012</v>
      </c>
      <c r="N39" s="3">
        <v>7744</v>
      </c>
      <c r="O39" s="3">
        <v>0</v>
      </c>
      <c r="P39" s="3">
        <v>2844</v>
      </c>
      <c r="Q39" s="3">
        <v>19640</v>
      </c>
      <c r="R39" s="218">
        <f t="shared" si="2"/>
        <v>642649</v>
      </c>
    </row>
    <row r="40" spans="1:18" s="180" customFormat="1" hidden="1" x14ac:dyDescent="0.2">
      <c r="B40" s="217">
        <v>41061</v>
      </c>
      <c r="C40" s="3">
        <v>39923</v>
      </c>
      <c r="D40" s="3">
        <v>8605</v>
      </c>
      <c r="E40" s="3">
        <v>60091</v>
      </c>
      <c r="F40" s="3">
        <v>240</v>
      </c>
      <c r="G40" s="63">
        <v>98120</v>
      </c>
      <c r="H40" s="63">
        <v>38921</v>
      </c>
      <c r="I40" s="3">
        <v>7753</v>
      </c>
      <c r="J40" s="3">
        <v>601</v>
      </c>
      <c r="K40" s="3">
        <v>348253</v>
      </c>
      <c r="L40" s="3">
        <v>0</v>
      </c>
      <c r="M40" s="3">
        <v>18022</v>
      </c>
      <c r="N40" s="3">
        <v>7846</v>
      </c>
      <c r="O40" s="3">
        <v>0</v>
      </c>
      <c r="P40" s="3">
        <v>2818</v>
      </c>
      <c r="Q40" s="3">
        <v>19929</v>
      </c>
      <c r="R40" s="218">
        <f t="shared" si="2"/>
        <v>651122</v>
      </c>
    </row>
    <row r="41" spans="1:18" s="185" customFormat="1" hidden="1" x14ac:dyDescent="0.2">
      <c r="B41" s="221" t="s">
        <v>115</v>
      </c>
      <c r="C41" s="7">
        <f>ROUND(AVERAGE(C29:C40),0)</f>
        <v>39740</v>
      </c>
      <c r="D41" s="7">
        <f t="shared" ref="D41:Q41" si="4">ROUND(AVERAGE(D29:D40),0)</f>
        <v>8383</v>
      </c>
      <c r="E41" s="7">
        <f t="shared" si="4"/>
        <v>59434</v>
      </c>
      <c r="F41" s="7">
        <f t="shared" si="4"/>
        <v>52</v>
      </c>
      <c r="G41" s="7">
        <f t="shared" si="4"/>
        <v>93224</v>
      </c>
      <c r="H41" s="7">
        <f t="shared" si="4"/>
        <v>35461</v>
      </c>
      <c r="I41" s="7">
        <f>ROUND(AVERAGE(I29:I40),0)</f>
        <v>1134</v>
      </c>
      <c r="J41" s="7">
        <f>ROUND(AVERAGE(J29:J40),0)</f>
        <v>597</v>
      </c>
      <c r="K41" s="7">
        <f>ROUND(AVERAGE(K29:K40),0)</f>
        <v>334633</v>
      </c>
      <c r="L41" s="7">
        <f t="shared" si="4"/>
        <v>0</v>
      </c>
      <c r="M41" s="7">
        <f t="shared" si="4"/>
        <v>18034</v>
      </c>
      <c r="N41" s="7">
        <f t="shared" si="4"/>
        <v>7630</v>
      </c>
      <c r="O41" s="7">
        <f t="shared" si="4"/>
        <v>0</v>
      </c>
      <c r="P41" s="7">
        <f t="shared" si="4"/>
        <v>2770</v>
      </c>
      <c r="Q41" s="7">
        <f t="shared" si="4"/>
        <v>18871</v>
      </c>
      <c r="R41" s="222">
        <f t="shared" ref="R41:R67" si="5">SUM(C41:Q41)</f>
        <v>619963</v>
      </c>
    </row>
    <row r="42" spans="1:18" s="180" customFormat="1" hidden="1" x14ac:dyDescent="0.2">
      <c r="A42" s="358">
        <f>IF(C42="",0,1)</f>
        <v>1</v>
      </c>
      <c r="B42" s="217">
        <v>41091</v>
      </c>
      <c r="C42" s="3">
        <v>40117</v>
      </c>
      <c r="D42" s="3">
        <v>8689</v>
      </c>
      <c r="E42" s="3">
        <v>60389</v>
      </c>
      <c r="F42" s="3">
        <v>338</v>
      </c>
      <c r="G42" s="63">
        <v>93088</v>
      </c>
      <c r="H42" s="63">
        <v>38961</v>
      </c>
      <c r="I42" s="3">
        <v>9652</v>
      </c>
      <c r="J42" s="3">
        <v>607</v>
      </c>
      <c r="K42" s="3">
        <v>348510</v>
      </c>
      <c r="L42" s="3">
        <v>0</v>
      </c>
      <c r="M42" s="3">
        <v>17959</v>
      </c>
      <c r="N42" s="3">
        <v>7824</v>
      </c>
      <c r="O42" s="3">
        <v>0</v>
      </c>
      <c r="P42" s="3">
        <v>2764</v>
      </c>
      <c r="Q42" s="3">
        <v>20117</v>
      </c>
      <c r="R42" s="218">
        <f t="shared" si="5"/>
        <v>649015</v>
      </c>
    </row>
    <row r="43" spans="1:18" s="180" customFormat="1" hidden="1" x14ac:dyDescent="0.2">
      <c r="A43" s="358">
        <f t="shared" ref="A43:A106" si="6">IF(C43="",0,1)</f>
        <v>1</v>
      </c>
      <c r="B43" s="217">
        <v>41122</v>
      </c>
      <c r="C43" s="3">
        <v>40460</v>
      </c>
      <c r="D43" s="3">
        <v>8771</v>
      </c>
      <c r="E43" s="3">
        <v>60680</v>
      </c>
      <c r="F43" s="3">
        <v>445</v>
      </c>
      <c r="G43" s="63">
        <v>94777</v>
      </c>
      <c r="H43" s="63">
        <v>39881</v>
      </c>
      <c r="I43" s="3">
        <v>9675</v>
      </c>
      <c r="J43" s="3">
        <v>612</v>
      </c>
      <c r="K43" s="3">
        <v>351537</v>
      </c>
      <c r="L43" s="3">
        <v>0</v>
      </c>
      <c r="M43" s="3">
        <v>17932</v>
      </c>
      <c r="N43" s="3">
        <v>7864</v>
      </c>
      <c r="O43" s="3">
        <v>0</v>
      </c>
      <c r="P43" s="3">
        <v>2744</v>
      </c>
      <c r="Q43" s="3">
        <v>20418</v>
      </c>
      <c r="R43" s="218">
        <f t="shared" si="5"/>
        <v>655796</v>
      </c>
    </row>
    <row r="44" spans="1:18" s="180" customFormat="1" hidden="1" x14ac:dyDescent="0.2">
      <c r="A44" s="358">
        <f t="shared" si="6"/>
        <v>1</v>
      </c>
      <c r="B44" s="217">
        <v>41153</v>
      </c>
      <c r="C44" s="3">
        <v>40468</v>
      </c>
      <c r="D44" s="3">
        <v>8877</v>
      </c>
      <c r="E44" s="3">
        <v>60934</v>
      </c>
      <c r="F44" s="3">
        <v>539</v>
      </c>
      <c r="G44" s="63">
        <v>95151</v>
      </c>
      <c r="H44" s="63">
        <v>39689</v>
      </c>
      <c r="I44" s="3">
        <v>9880</v>
      </c>
      <c r="J44" s="3">
        <v>610</v>
      </c>
      <c r="K44" s="3">
        <v>355312</v>
      </c>
      <c r="L44" s="3">
        <v>0</v>
      </c>
      <c r="M44" s="3">
        <v>18004</v>
      </c>
      <c r="N44" s="3">
        <v>7677</v>
      </c>
      <c r="O44" s="3">
        <v>0</v>
      </c>
      <c r="P44" s="3">
        <v>2609</v>
      </c>
      <c r="Q44" s="3">
        <v>20615</v>
      </c>
      <c r="R44" s="218">
        <f t="shared" si="5"/>
        <v>660365</v>
      </c>
    </row>
    <row r="45" spans="1:18" s="180" customFormat="1" hidden="1" x14ac:dyDescent="0.2">
      <c r="A45" s="358">
        <f t="shared" si="6"/>
        <v>1</v>
      </c>
      <c r="B45" s="217">
        <v>41183</v>
      </c>
      <c r="C45" s="3">
        <v>40773</v>
      </c>
      <c r="D45" s="3">
        <v>8949</v>
      </c>
      <c r="E45" s="3">
        <v>61303</v>
      </c>
      <c r="F45" s="3">
        <v>640</v>
      </c>
      <c r="G45" s="63">
        <v>96113</v>
      </c>
      <c r="H45" s="63">
        <v>40302</v>
      </c>
      <c r="I45" s="3">
        <v>9969</v>
      </c>
      <c r="J45" s="3">
        <v>615</v>
      </c>
      <c r="K45" s="3">
        <v>353524</v>
      </c>
      <c r="L45" s="3">
        <v>0</v>
      </c>
      <c r="M45" s="3">
        <v>18000</v>
      </c>
      <c r="N45" s="3">
        <v>7691</v>
      </c>
      <c r="O45" s="3">
        <v>0</v>
      </c>
      <c r="P45" s="3">
        <v>2569</v>
      </c>
      <c r="Q45" s="3">
        <v>20766</v>
      </c>
      <c r="R45" s="218">
        <f t="shared" si="5"/>
        <v>661214</v>
      </c>
    </row>
    <row r="46" spans="1:18" s="180" customFormat="1" hidden="1" x14ac:dyDescent="0.2">
      <c r="A46" s="358">
        <f t="shared" si="6"/>
        <v>1</v>
      </c>
      <c r="B46" s="217">
        <v>41214</v>
      </c>
      <c r="C46" s="3">
        <v>41059</v>
      </c>
      <c r="D46" s="3">
        <v>8997</v>
      </c>
      <c r="E46" s="3">
        <v>61571</v>
      </c>
      <c r="F46" s="3">
        <v>753</v>
      </c>
      <c r="G46" s="63">
        <v>98333</v>
      </c>
      <c r="H46" s="63">
        <v>41895</v>
      </c>
      <c r="I46" s="3">
        <v>9972</v>
      </c>
      <c r="J46" s="3">
        <v>615</v>
      </c>
      <c r="K46" s="3">
        <v>356897</v>
      </c>
      <c r="L46" s="3">
        <v>0</v>
      </c>
      <c r="M46" s="3">
        <v>17967</v>
      </c>
      <c r="N46" s="3">
        <v>7600</v>
      </c>
      <c r="O46" s="3">
        <v>0</v>
      </c>
      <c r="P46" s="3">
        <v>2546</v>
      </c>
      <c r="Q46" s="3">
        <v>20998</v>
      </c>
      <c r="R46" s="218">
        <f t="shared" si="5"/>
        <v>669203</v>
      </c>
    </row>
    <row r="47" spans="1:18" s="180" customFormat="1" hidden="1" x14ac:dyDescent="0.2">
      <c r="A47" s="358">
        <f t="shared" si="6"/>
        <v>1</v>
      </c>
      <c r="B47" s="217">
        <v>41244</v>
      </c>
      <c r="C47" s="3">
        <v>41034</v>
      </c>
      <c r="D47" s="3">
        <v>9077</v>
      </c>
      <c r="E47" s="3">
        <v>61699</v>
      </c>
      <c r="F47" s="3">
        <v>857</v>
      </c>
      <c r="G47" s="63">
        <v>97784</v>
      </c>
      <c r="H47" s="63">
        <v>40442</v>
      </c>
      <c r="I47" s="3">
        <v>9798</v>
      </c>
      <c r="J47" s="3">
        <v>616</v>
      </c>
      <c r="K47" s="3">
        <v>361446</v>
      </c>
      <c r="L47" s="3">
        <v>0</v>
      </c>
      <c r="M47" s="3">
        <v>17898</v>
      </c>
      <c r="N47" s="3">
        <v>7466</v>
      </c>
      <c r="O47" s="3">
        <v>0</v>
      </c>
      <c r="P47" s="3">
        <v>2541</v>
      </c>
      <c r="Q47" s="3">
        <v>21221</v>
      </c>
      <c r="R47" s="218">
        <f t="shared" si="5"/>
        <v>671879</v>
      </c>
    </row>
    <row r="48" spans="1:18" s="180" customFormat="1" hidden="1" x14ac:dyDescent="0.2">
      <c r="A48" s="358">
        <f t="shared" si="6"/>
        <v>1</v>
      </c>
      <c r="B48" s="217">
        <v>41275</v>
      </c>
      <c r="C48" s="3">
        <v>41066</v>
      </c>
      <c r="D48" s="3">
        <v>9096</v>
      </c>
      <c r="E48" s="3">
        <v>61803</v>
      </c>
      <c r="F48" s="3">
        <v>988</v>
      </c>
      <c r="G48" s="63">
        <v>99404</v>
      </c>
      <c r="H48" s="63">
        <v>40895</v>
      </c>
      <c r="I48" s="3">
        <v>9777</v>
      </c>
      <c r="J48" s="3">
        <v>613</v>
      </c>
      <c r="K48" s="63">
        <v>361220</v>
      </c>
      <c r="L48" s="63">
        <v>5223</v>
      </c>
      <c r="M48" s="3">
        <v>17720</v>
      </c>
      <c r="N48" s="63">
        <v>8250</v>
      </c>
      <c r="O48" s="63">
        <v>437</v>
      </c>
      <c r="P48" s="3">
        <v>2655</v>
      </c>
      <c r="Q48" s="3">
        <v>21366</v>
      </c>
      <c r="R48" s="218">
        <f t="shared" si="5"/>
        <v>680513</v>
      </c>
    </row>
    <row r="49" spans="1:18" s="180" customFormat="1" hidden="1" x14ac:dyDescent="0.2">
      <c r="A49" s="358">
        <f t="shared" si="6"/>
        <v>1</v>
      </c>
      <c r="B49" s="217">
        <v>41306</v>
      </c>
      <c r="C49" s="3">
        <v>41093</v>
      </c>
      <c r="D49" s="3">
        <v>9152</v>
      </c>
      <c r="E49" s="3">
        <v>62245</v>
      </c>
      <c r="F49" s="3">
        <v>1056</v>
      </c>
      <c r="G49" s="63">
        <v>101305</v>
      </c>
      <c r="H49" s="63">
        <v>42236</v>
      </c>
      <c r="I49" s="3">
        <v>9959</v>
      </c>
      <c r="J49" s="3">
        <v>608</v>
      </c>
      <c r="K49" s="63">
        <v>362024</v>
      </c>
      <c r="L49" s="63">
        <v>13463</v>
      </c>
      <c r="M49" s="3">
        <v>17673</v>
      </c>
      <c r="N49" s="63">
        <v>8322</v>
      </c>
      <c r="O49" s="63">
        <v>531</v>
      </c>
      <c r="P49" s="3">
        <v>2666</v>
      </c>
      <c r="Q49" s="3">
        <v>21532</v>
      </c>
      <c r="R49" s="218">
        <f t="shared" si="5"/>
        <v>693865</v>
      </c>
    </row>
    <row r="50" spans="1:18" s="180" customFormat="1" hidden="1" x14ac:dyDescent="0.2">
      <c r="A50" s="358">
        <f t="shared" si="6"/>
        <v>1</v>
      </c>
      <c r="B50" s="217">
        <v>41334</v>
      </c>
      <c r="C50" s="3">
        <v>40697</v>
      </c>
      <c r="D50" s="3">
        <v>9130</v>
      </c>
      <c r="E50" s="3">
        <v>62485</v>
      </c>
      <c r="F50" s="3">
        <v>1125</v>
      </c>
      <c r="G50" s="63">
        <v>100247</v>
      </c>
      <c r="H50" s="63">
        <v>42110</v>
      </c>
      <c r="I50" s="3">
        <v>9621</v>
      </c>
      <c r="J50" s="3">
        <v>618</v>
      </c>
      <c r="K50" s="63">
        <v>363012</v>
      </c>
      <c r="L50" s="63">
        <v>18263</v>
      </c>
      <c r="M50" s="3">
        <v>17619</v>
      </c>
      <c r="N50" s="63">
        <v>8311</v>
      </c>
      <c r="O50" s="63">
        <v>636</v>
      </c>
      <c r="P50" s="3">
        <v>2733</v>
      </c>
      <c r="Q50" s="3">
        <v>21530</v>
      </c>
      <c r="R50" s="218">
        <f t="shared" si="5"/>
        <v>698137</v>
      </c>
    </row>
    <row r="51" spans="1:18" s="180" customFormat="1" hidden="1" x14ac:dyDescent="0.2">
      <c r="A51" s="358">
        <f t="shared" si="6"/>
        <v>1</v>
      </c>
      <c r="B51" s="217">
        <v>41365</v>
      </c>
      <c r="C51" s="3">
        <v>40898</v>
      </c>
      <c r="D51" s="3">
        <v>9222</v>
      </c>
      <c r="E51" s="3">
        <v>62976</v>
      </c>
      <c r="F51" s="3">
        <v>1232</v>
      </c>
      <c r="G51" s="63">
        <v>101576</v>
      </c>
      <c r="H51" s="63">
        <v>42997</v>
      </c>
      <c r="I51" s="3">
        <v>12076</v>
      </c>
      <c r="J51" s="3">
        <v>639</v>
      </c>
      <c r="K51" s="63">
        <v>364317</v>
      </c>
      <c r="L51" s="63">
        <v>20016</v>
      </c>
      <c r="M51" s="3">
        <v>17598</v>
      </c>
      <c r="N51" s="63">
        <v>8477</v>
      </c>
      <c r="O51" s="63">
        <v>730</v>
      </c>
      <c r="P51" s="3">
        <v>2798</v>
      </c>
      <c r="Q51" s="3">
        <v>21738</v>
      </c>
      <c r="R51" s="218">
        <f t="shared" si="5"/>
        <v>707290</v>
      </c>
    </row>
    <row r="52" spans="1:18" s="180" customFormat="1" hidden="1" x14ac:dyDescent="0.2">
      <c r="A52" s="358">
        <f t="shared" si="6"/>
        <v>1</v>
      </c>
      <c r="B52" s="217">
        <v>41395</v>
      </c>
      <c r="C52" s="3">
        <v>41108</v>
      </c>
      <c r="D52" s="3">
        <v>9295</v>
      </c>
      <c r="E52" s="3">
        <v>63416</v>
      </c>
      <c r="F52" s="3">
        <v>1318</v>
      </c>
      <c r="G52" s="63">
        <v>106147</v>
      </c>
      <c r="H52" s="63">
        <v>45535</v>
      </c>
      <c r="I52" s="3">
        <v>12462</v>
      </c>
      <c r="J52" s="3">
        <v>659</v>
      </c>
      <c r="K52" s="63">
        <v>366710</v>
      </c>
      <c r="L52" s="63">
        <v>21546</v>
      </c>
      <c r="M52" s="3">
        <v>17257</v>
      </c>
      <c r="N52" s="63">
        <v>8346</v>
      </c>
      <c r="O52" s="63">
        <v>938</v>
      </c>
      <c r="P52" s="3">
        <v>2848</v>
      </c>
      <c r="Q52" s="3">
        <v>22000</v>
      </c>
      <c r="R52" s="218">
        <f t="shared" si="5"/>
        <v>719585</v>
      </c>
    </row>
    <row r="53" spans="1:18" s="180" customFormat="1" hidden="1" x14ac:dyDescent="0.2">
      <c r="A53" s="358">
        <f t="shared" si="6"/>
        <v>1</v>
      </c>
      <c r="B53" s="217">
        <v>41426</v>
      </c>
      <c r="C53" s="3">
        <v>41153</v>
      </c>
      <c r="D53" s="3">
        <v>9358</v>
      </c>
      <c r="E53" s="3">
        <v>63540</v>
      </c>
      <c r="F53" s="3">
        <v>1368</v>
      </c>
      <c r="G53" s="63">
        <v>108773</v>
      </c>
      <c r="H53" s="63">
        <v>43600</v>
      </c>
      <c r="I53" s="3">
        <v>14772</v>
      </c>
      <c r="J53" s="3">
        <v>659</v>
      </c>
      <c r="K53" s="63">
        <v>373604</v>
      </c>
      <c r="L53" s="63">
        <v>20327</v>
      </c>
      <c r="M53" s="3">
        <v>17691</v>
      </c>
      <c r="N53" s="63">
        <v>8457</v>
      </c>
      <c r="O53" s="63">
        <v>863</v>
      </c>
      <c r="P53" s="3">
        <v>2739</v>
      </c>
      <c r="Q53" s="3">
        <v>22170</v>
      </c>
      <c r="R53" s="218">
        <f t="shared" si="5"/>
        <v>729074</v>
      </c>
    </row>
    <row r="54" spans="1:18" s="180" customFormat="1" hidden="1" x14ac:dyDescent="0.2">
      <c r="A54" s="358">
        <f t="shared" si="6"/>
        <v>1</v>
      </c>
      <c r="B54" s="221" t="s">
        <v>127</v>
      </c>
      <c r="C54" s="7">
        <f>ROUND(AVERAGE(C42:C53),0)</f>
        <v>40827</v>
      </c>
      <c r="D54" s="7">
        <f t="shared" ref="D54:Q54" si="7">ROUND(AVERAGE(D42:D53),0)</f>
        <v>9051</v>
      </c>
      <c r="E54" s="7">
        <f t="shared" si="7"/>
        <v>61920</v>
      </c>
      <c r="F54" s="7">
        <f t="shared" si="7"/>
        <v>888</v>
      </c>
      <c r="G54" s="7">
        <f t="shared" si="7"/>
        <v>99392</v>
      </c>
      <c r="H54" s="7">
        <f t="shared" si="7"/>
        <v>41545</v>
      </c>
      <c r="I54" s="7">
        <f>ROUND(AVERAGE(I42:I53),0)</f>
        <v>10634</v>
      </c>
      <c r="J54" s="7">
        <f>ROUND(AVERAGE(J42:J53),0)</f>
        <v>623</v>
      </c>
      <c r="K54" s="7">
        <f>ROUND(AVERAGE(K42:K53),0)</f>
        <v>359843</v>
      </c>
      <c r="L54" s="7">
        <f>ROUND(AVERAGE(L42:L53),0)-1</f>
        <v>8236</v>
      </c>
      <c r="M54" s="7">
        <f t="shared" si="7"/>
        <v>17777</v>
      </c>
      <c r="N54" s="7">
        <f t="shared" si="7"/>
        <v>8024</v>
      </c>
      <c r="O54" s="7">
        <f>ROUND(AVERAGE(O42:O53),0)-1</f>
        <v>344</v>
      </c>
      <c r="P54" s="7">
        <f t="shared" si="7"/>
        <v>2684</v>
      </c>
      <c r="Q54" s="7">
        <f t="shared" si="7"/>
        <v>21206</v>
      </c>
      <c r="R54" s="222">
        <f>SUM(C54:Q54)</f>
        <v>682994</v>
      </c>
    </row>
    <row r="55" spans="1:18" s="180" customFormat="1" hidden="1" x14ac:dyDescent="0.2">
      <c r="A55" s="358">
        <f t="shared" si="6"/>
        <v>1</v>
      </c>
      <c r="B55" s="223">
        <v>41456</v>
      </c>
      <c r="C55" s="212">
        <v>41243</v>
      </c>
      <c r="D55" s="212">
        <v>9466</v>
      </c>
      <c r="E55" s="212">
        <v>63919</v>
      </c>
      <c r="F55" s="212">
        <v>1494</v>
      </c>
      <c r="G55" s="213">
        <v>105843</v>
      </c>
      <c r="H55" s="213">
        <v>43321</v>
      </c>
      <c r="I55" s="213">
        <v>16073</v>
      </c>
      <c r="J55" s="213">
        <v>660</v>
      </c>
      <c r="K55" s="213">
        <v>379057</v>
      </c>
      <c r="L55" s="213">
        <v>11487</v>
      </c>
      <c r="M55" s="212">
        <v>17652</v>
      </c>
      <c r="N55" s="213">
        <v>9053</v>
      </c>
      <c r="O55" s="213">
        <v>334</v>
      </c>
      <c r="P55" s="212">
        <v>2754</v>
      </c>
      <c r="Q55" s="212">
        <v>22368</v>
      </c>
      <c r="R55" s="224">
        <f t="shared" si="5"/>
        <v>724724</v>
      </c>
    </row>
    <row r="56" spans="1:18" s="180" customFormat="1" hidden="1" x14ac:dyDescent="0.2">
      <c r="A56" s="358">
        <f t="shared" si="6"/>
        <v>1</v>
      </c>
      <c r="B56" s="217">
        <v>41487</v>
      </c>
      <c r="C56" s="3">
        <v>41540</v>
      </c>
      <c r="D56" s="3">
        <v>9538</v>
      </c>
      <c r="E56" s="3">
        <v>64281</v>
      </c>
      <c r="F56" s="3">
        <v>1616</v>
      </c>
      <c r="G56" s="63">
        <v>106672</v>
      </c>
      <c r="H56" s="63">
        <v>45336</v>
      </c>
      <c r="I56" s="63">
        <v>17388</v>
      </c>
      <c r="J56" s="63">
        <v>648</v>
      </c>
      <c r="K56" s="63">
        <v>382925</v>
      </c>
      <c r="L56" s="63">
        <v>8984</v>
      </c>
      <c r="M56" s="3">
        <v>17659</v>
      </c>
      <c r="N56" s="63">
        <v>9219</v>
      </c>
      <c r="O56" s="63">
        <v>186</v>
      </c>
      <c r="P56" s="3">
        <v>2562</v>
      </c>
      <c r="Q56" s="3">
        <v>22539</v>
      </c>
      <c r="R56" s="218">
        <f t="shared" si="5"/>
        <v>731093</v>
      </c>
    </row>
    <row r="57" spans="1:18" s="180" customFormat="1" hidden="1" x14ac:dyDescent="0.2">
      <c r="A57" s="358">
        <f t="shared" si="6"/>
        <v>1</v>
      </c>
      <c r="B57" s="217">
        <v>41518</v>
      </c>
      <c r="C57" s="3">
        <v>41696</v>
      </c>
      <c r="D57" s="3">
        <v>9641</v>
      </c>
      <c r="E57" s="3">
        <v>64309</v>
      </c>
      <c r="F57" s="3">
        <v>1692</v>
      </c>
      <c r="G57" s="63">
        <v>110929</v>
      </c>
      <c r="H57" s="63">
        <v>43247</v>
      </c>
      <c r="I57" s="63">
        <v>20951</v>
      </c>
      <c r="J57" s="63">
        <v>645</v>
      </c>
      <c r="K57" s="63">
        <v>394462</v>
      </c>
      <c r="L57" s="63">
        <v>4348</v>
      </c>
      <c r="M57" s="3">
        <v>17619</v>
      </c>
      <c r="N57" s="63">
        <v>9240</v>
      </c>
      <c r="O57" s="63">
        <v>105</v>
      </c>
      <c r="P57" s="3">
        <v>2511</v>
      </c>
      <c r="Q57" s="3">
        <v>22690</v>
      </c>
      <c r="R57" s="218">
        <f t="shared" si="5"/>
        <v>744085</v>
      </c>
    </row>
    <row r="58" spans="1:18" s="180" customFormat="1" hidden="1" x14ac:dyDescent="0.2">
      <c r="A58" s="358">
        <f t="shared" si="6"/>
        <v>1</v>
      </c>
      <c r="B58" s="217">
        <v>41548</v>
      </c>
      <c r="C58" s="3">
        <v>41861</v>
      </c>
      <c r="D58" s="3">
        <v>9709</v>
      </c>
      <c r="E58" s="3">
        <v>64151</v>
      </c>
      <c r="F58" s="3">
        <v>2200</v>
      </c>
      <c r="G58" s="63">
        <v>111274</v>
      </c>
      <c r="H58" s="63">
        <v>37094</v>
      </c>
      <c r="I58" s="63">
        <v>19168</v>
      </c>
      <c r="J58" s="63">
        <v>639</v>
      </c>
      <c r="K58" s="63">
        <v>382709</v>
      </c>
      <c r="L58" s="63">
        <v>11153</v>
      </c>
      <c r="M58" s="3">
        <v>17675</v>
      </c>
      <c r="N58" s="63">
        <v>13079</v>
      </c>
      <c r="O58" s="3">
        <v>549</v>
      </c>
      <c r="P58" s="3">
        <v>2392</v>
      </c>
      <c r="Q58" s="3">
        <v>22299</v>
      </c>
      <c r="R58" s="218">
        <f t="shared" si="5"/>
        <v>735952</v>
      </c>
    </row>
    <row r="59" spans="1:18" s="180" customFormat="1" hidden="1" x14ac:dyDescent="0.2">
      <c r="A59" s="358">
        <f t="shared" si="6"/>
        <v>1</v>
      </c>
      <c r="B59" s="217">
        <v>41579</v>
      </c>
      <c r="C59" s="3">
        <v>42098</v>
      </c>
      <c r="D59" s="3">
        <v>9748</v>
      </c>
      <c r="E59" s="3">
        <v>64396</v>
      </c>
      <c r="F59" s="3">
        <v>2749</v>
      </c>
      <c r="G59" s="63">
        <v>112290</v>
      </c>
      <c r="H59" s="63">
        <v>41332</v>
      </c>
      <c r="I59" s="63">
        <v>17976</v>
      </c>
      <c r="J59" s="63">
        <v>547</v>
      </c>
      <c r="K59" s="63">
        <v>386326</v>
      </c>
      <c r="L59" s="63">
        <v>18980</v>
      </c>
      <c r="M59" s="3">
        <v>17712</v>
      </c>
      <c r="N59" s="63">
        <v>13740</v>
      </c>
      <c r="O59" s="3">
        <v>1022</v>
      </c>
      <c r="P59" s="3">
        <v>2352</v>
      </c>
      <c r="Q59" s="3">
        <v>22539</v>
      </c>
      <c r="R59" s="218">
        <f t="shared" si="5"/>
        <v>753807</v>
      </c>
    </row>
    <row r="60" spans="1:18" s="180" customFormat="1" ht="37.5" hidden="1" customHeight="1" x14ac:dyDescent="0.2">
      <c r="A60" s="358">
        <f t="shared" si="6"/>
        <v>1</v>
      </c>
      <c r="B60" s="217">
        <v>41609</v>
      </c>
      <c r="C60" s="3">
        <v>42265</v>
      </c>
      <c r="D60" s="3">
        <v>9797</v>
      </c>
      <c r="E60" s="3">
        <v>64478</v>
      </c>
      <c r="F60" s="3">
        <v>2690</v>
      </c>
      <c r="G60" s="63">
        <v>119836</v>
      </c>
      <c r="H60" s="63">
        <v>40228</v>
      </c>
      <c r="I60" s="63">
        <v>17092</v>
      </c>
      <c r="J60" s="63">
        <v>540</v>
      </c>
      <c r="K60" s="63">
        <v>389900</v>
      </c>
      <c r="L60" s="63">
        <v>28057</v>
      </c>
      <c r="M60" s="3">
        <v>17793</v>
      </c>
      <c r="N60" s="63">
        <v>14140</v>
      </c>
      <c r="O60" s="3">
        <v>1293</v>
      </c>
      <c r="P60" s="3">
        <v>2311</v>
      </c>
      <c r="Q60" s="3">
        <v>22534</v>
      </c>
      <c r="R60" s="218">
        <f t="shared" si="5"/>
        <v>772954</v>
      </c>
    </row>
    <row r="61" spans="1:18" s="180" customFormat="1" hidden="1" x14ac:dyDescent="0.2">
      <c r="A61" s="358">
        <f t="shared" si="6"/>
        <v>1</v>
      </c>
      <c r="B61" s="217">
        <v>41640</v>
      </c>
      <c r="C61" s="3">
        <v>41861</v>
      </c>
      <c r="D61" s="3">
        <v>9838</v>
      </c>
      <c r="E61" s="3">
        <v>64838</v>
      </c>
      <c r="F61" s="3">
        <v>2217</v>
      </c>
      <c r="G61" s="63">
        <v>122548</v>
      </c>
      <c r="H61" s="63">
        <v>40659</v>
      </c>
      <c r="I61" s="63">
        <v>120068</v>
      </c>
      <c r="J61" s="63">
        <v>543</v>
      </c>
      <c r="K61" s="63">
        <v>398421</v>
      </c>
      <c r="L61" s="63">
        <v>29967</v>
      </c>
      <c r="M61" s="3">
        <v>17684</v>
      </c>
      <c r="N61" s="63">
        <v>14582</v>
      </c>
      <c r="O61" s="3">
        <v>1390</v>
      </c>
      <c r="P61" s="3">
        <v>2309</v>
      </c>
      <c r="Q61" s="3">
        <v>22740</v>
      </c>
      <c r="R61" s="218">
        <f t="shared" si="5"/>
        <v>889665</v>
      </c>
    </row>
    <row r="62" spans="1:18" s="180" customFormat="1" hidden="1" x14ac:dyDescent="0.2">
      <c r="A62" s="358">
        <f t="shared" si="6"/>
        <v>1</v>
      </c>
      <c r="B62" s="217">
        <v>41671</v>
      </c>
      <c r="C62" s="3">
        <v>42003</v>
      </c>
      <c r="D62" s="3">
        <v>9919</v>
      </c>
      <c r="E62" s="3">
        <v>64798</v>
      </c>
      <c r="F62" s="3">
        <v>3146</v>
      </c>
      <c r="G62" s="214">
        <v>129759</v>
      </c>
      <c r="H62" s="214">
        <v>51272</v>
      </c>
      <c r="I62" s="63">
        <v>125369</v>
      </c>
      <c r="J62" s="63">
        <v>527</v>
      </c>
      <c r="K62" s="63">
        <v>403888</v>
      </c>
      <c r="L62" s="63">
        <v>33263</v>
      </c>
      <c r="M62" s="3">
        <v>17744</v>
      </c>
      <c r="N62" s="63">
        <v>14691</v>
      </c>
      <c r="O62" s="3">
        <v>1471</v>
      </c>
      <c r="P62" s="3">
        <v>2374</v>
      </c>
      <c r="Q62" s="3">
        <v>23302</v>
      </c>
      <c r="R62" s="218">
        <f t="shared" si="5"/>
        <v>923526</v>
      </c>
    </row>
    <row r="63" spans="1:18" s="180" customFormat="1" hidden="1" x14ac:dyDescent="0.2">
      <c r="A63" s="358">
        <f t="shared" si="6"/>
        <v>1</v>
      </c>
      <c r="B63" s="217">
        <v>41699</v>
      </c>
      <c r="C63" s="3">
        <v>42145</v>
      </c>
      <c r="D63" s="3">
        <v>10027</v>
      </c>
      <c r="E63" s="3">
        <v>64312</v>
      </c>
      <c r="F63" s="3">
        <v>3188</v>
      </c>
      <c r="G63" s="214">
        <v>138165</v>
      </c>
      <c r="H63" s="214">
        <v>53923</v>
      </c>
      <c r="I63" s="63">
        <v>157246</v>
      </c>
      <c r="J63" s="63">
        <v>498</v>
      </c>
      <c r="K63" s="63">
        <v>408290</v>
      </c>
      <c r="L63" s="63">
        <v>38398</v>
      </c>
      <c r="M63" s="3">
        <v>17704</v>
      </c>
      <c r="N63" s="63">
        <v>14991</v>
      </c>
      <c r="O63" s="3">
        <v>1596</v>
      </c>
      <c r="P63" s="3">
        <v>2426</v>
      </c>
      <c r="Q63" s="3">
        <v>24063</v>
      </c>
      <c r="R63" s="218">
        <f t="shared" si="5"/>
        <v>976972</v>
      </c>
    </row>
    <row r="64" spans="1:18" s="180" customFormat="1" hidden="1" x14ac:dyDescent="0.2">
      <c r="A64" s="358">
        <f t="shared" si="6"/>
        <v>1</v>
      </c>
      <c r="B64" s="217">
        <v>41730</v>
      </c>
      <c r="C64" s="3">
        <v>41762</v>
      </c>
      <c r="D64" s="3">
        <v>10129</v>
      </c>
      <c r="E64" s="3">
        <v>64148</v>
      </c>
      <c r="F64" s="3">
        <v>3288</v>
      </c>
      <c r="G64" s="214">
        <v>144089</v>
      </c>
      <c r="H64" s="214">
        <v>55524</v>
      </c>
      <c r="I64" s="63">
        <v>171950</v>
      </c>
      <c r="J64" s="63">
        <v>492</v>
      </c>
      <c r="K64" s="63">
        <v>415666</v>
      </c>
      <c r="L64" s="63">
        <v>39128</v>
      </c>
      <c r="M64" s="3">
        <v>19526</v>
      </c>
      <c r="N64" s="63">
        <v>15093</v>
      </c>
      <c r="O64" s="3">
        <v>1559</v>
      </c>
      <c r="P64" s="3">
        <v>2467</v>
      </c>
      <c r="Q64" s="3">
        <v>24662</v>
      </c>
      <c r="R64" s="218">
        <f t="shared" si="5"/>
        <v>1009483</v>
      </c>
    </row>
    <row r="65" spans="1:18" s="180" customFormat="1" hidden="1" x14ac:dyDescent="0.2">
      <c r="A65" s="358">
        <f t="shared" si="6"/>
        <v>1</v>
      </c>
      <c r="B65" s="217">
        <v>41760</v>
      </c>
      <c r="C65" s="3">
        <v>41991</v>
      </c>
      <c r="D65" s="3">
        <v>10162</v>
      </c>
      <c r="E65" s="3">
        <v>64492</v>
      </c>
      <c r="F65" s="3">
        <v>3257</v>
      </c>
      <c r="G65" s="214">
        <v>145211</v>
      </c>
      <c r="H65" s="214">
        <v>54497</v>
      </c>
      <c r="I65" s="63">
        <v>176827</v>
      </c>
      <c r="J65" s="63">
        <v>488</v>
      </c>
      <c r="K65" s="63">
        <v>420786</v>
      </c>
      <c r="L65" s="63">
        <v>39624</v>
      </c>
      <c r="M65" s="3">
        <v>20168</v>
      </c>
      <c r="N65" s="63">
        <v>15086</v>
      </c>
      <c r="O65" s="3">
        <v>1549</v>
      </c>
      <c r="P65" s="3">
        <v>2487</v>
      </c>
      <c r="Q65" s="3">
        <v>25120</v>
      </c>
      <c r="R65" s="218">
        <f t="shared" si="5"/>
        <v>1021745</v>
      </c>
    </row>
    <row r="66" spans="1:18" s="180" customFormat="1" hidden="1" x14ac:dyDescent="0.2">
      <c r="A66" s="358">
        <f t="shared" si="6"/>
        <v>1</v>
      </c>
      <c r="B66" s="217">
        <v>41791</v>
      </c>
      <c r="C66" s="3">
        <v>41564</v>
      </c>
      <c r="D66" s="3">
        <v>10263</v>
      </c>
      <c r="E66" s="3">
        <v>64968</v>
      </c>
      <c r="F66" s="3">
        <v>3186</v>
      </c>
      <c r="G66" s="214">
        <v>149545</v>
      </c>
      <c r="H66" s="214">
        <v>58549</v>
      </c>
      <c r="I66" s="63">
        <v>186802</v>
      </c>
      <c r="J66" s="63">
        <v>477</v>
      </c>
      <c r="K66" s="63">
        <v>425952</v>
      </c>
      <c r="L66" s="63">
        <v>40754</v>
      </c>
      <c r="M66" s="3">
        <v>20268</v>
      </c>
      <c r="N66" s="63">
        <v>15007</v>
      </c>
      <c r="O66" s="3">
        <v>1634</v>
      </c>
      <c r="P66" s="3">
        <v>2821</v>
      </c>
      <c r="Q66" s="3">
        <v>25676</v>
      </c>
      <c r="R66" s="218">
        <f t="shared" si="5"/>
        <v>1047466</v>
      </c>
    </row>
    <row r="67" spans="1:18" s="180" customFormat="1" hidden="1" x14ac:dyDescent="0.2">
      <c r="A67" s="358">
        <f t="shared" si="6"/>
        <v>1</v>
      </c>
      <c r="B67" s="221" t="s">
        <v>149</v>
      </c>
      <c r="C67" s="7">
        <f>ROUND(AVERAGE(C55:C66),0)</f>
        <v>41836</v>
      </c>
      <c r="D67" s="7">
        <f t="shared" ref="D67:Q67" si="8">ROUND(AVERAGE(D55:D66),0)</f>
        <v>9853</v>
      </c>
      <c r="E67" s="7">
        <f t="shared" si="8"/>
        <v>64424</v>
      </c>
      <c r="F67" s="7">
        <f t="shared" si="8"/>
        <v>2560</v>
      </c>
      <c r="G67" s="7">
        <f t="shared" si="8"/>
        <v>124680</v>
      </c>
      <c r="H67" s="7">
        <f t="shared" si="8"/>
        <v>47082</v>
      </c>
      <c r="I67" s="7">
        <f>ROUND(AVERAGE(I55:I66),0)</f>
        <v>87243</v>
      </c>
      <c r="J67" s="7">
        <f>ROUND(AVERAGE(J55:J66),0)</f>
        <v>559</v>
      </c>
      <c r="K67" s="7">
        <f>ROUND(AVERAGE(K55:K66),0)</f>
        <v>399032</v>
      </c>
      <c r="L67" s="7">
        <f t="shared" si="8"/>
        <v>25345</v>
      </c>
      <c r="M67" s="7">
        <f t="shared" si="8"/>
        <v>18267</v>
      </c>
      <c r="N67" s="7">
        <f t="shared" si="8"/>
        <v>13160</v>
      </c>
      <c r="O67" s="7">
        <f t="shared" si="8"/>
        <v>1057</v>
      </c>
      <c r="P67" s="7">
        <f t="shared" si="8"/>
        <v>2481</v>
      </c>
      <c r="Q67" s="7">
        <f t="shared" si="8"/>
        <v>23378</v>
      </c>
      <c r="R67" s="222">
        <f t="shared" si="5"/>
        <v>860957</v>
      </c>
    </row>
    <row r="68" spans="1:18" s="180" customFormat="1" hidden="1" x14ac:dyDescent="0.2">
      <c r="A68" s="358">
        <f t="shared" si="6"/>
        <v>1</v>
      </c>
      <c r="B68" s="223">
        <v>41821</v>
      </c>
      <c r="C68" s="212">
        <v>41551</v>
      </c>
      <c r="D68" s="212">
        <v>10346</v>
      </c>
      <c r="E68" s="212">
        <v>65459</v>
      </c>
      <c r="F68" s="212">
        <v>3065</v>
      </c>
      <c r="G68" s="212">
        <v>153837</v>
      </c>
      <c r="H68" s="212">
        <v>60981</v>
      </c>
      <c r="I68" s="212">
        <v>194454</v>
      </c>
      <c r="J68" s="212">
        <v>472</v>
      </c>
      <c r="K68" s="213">
        <v>431203</v>
      </c>
      <c r="L68" s="213">
        <v>41550</v>
      </c>
      <c r="M68" s="212">
        <v>20190</v>
      </c>
      <c r="N68" s="212">
        <v>15038</v>
      </c>
      <c r="O68" s="212">
        <v>1672</v>
      </c>
      <c r="P68" s="212">
        <v>2551</v>
      </c>
      <c r="Q68" s="212">
        <v>25963</v>
      </c>
      <c r="R68" s="224">
        <f>SUM(C68:Q68)</f>
        <v>1068332</v>
      </c>
    </row>
    <row r="69" spans="1:18" s="180" customFormat="1" hidden="1" x14ac:dyDescent="0.2">
      <c r="A69" s="358">
        <f t="shared" si="6"/>
        <v>1</v>
      </c>
      <c r="B69" s="217">
        <v>41852</v>
      </c>
      <c r="C69" s="3">
        <v>42513</v>
      </c>
      <c r="D69" s="3">
        <v>10350</v>
      </c>
      <c r="E69" s="3">
        <v>65785</v>
      </c>
      <c r="F69" s="3">
        <v>2971</v>
      </c>
      <c r="G69" s="3">
        <v>156343</v>
      </c>
      <c r="H69" s="3">
        <v>62711</v>
      </c>
      <c r="I69" s="3">
        <v>202825</v>
      </c>
      <c r="J69" s="3">
        <v>463</v>
      </c>
      <c r="K69" s="63">
        <v>436077</v>
      </c>
      <c r="L69" s="63">
        <v>42750</v>
      </c>
      <c r="M69" s="3">
        <v>20213</v>
      </c>
      <c r="N69" s="3">
        <v>15436</v>
      </c>
      <c r="O69" s="3">
        <v>1800</v>
      </c>
      <c r="P69" s="3">
        <v>2494</v>
      </c>
      <c r="Q69" s="3">
        <v>26347</v>
      </c>
      <c r="R69" s="218">
        <f>1089078</f>
        <v>1089078</v>
      </c>
    </row>
    <row r="70" spans="1:18" s="180" customFormat="1" hidden="1" x14ac:dyDescent="0.2">
      <c r="A70" s="358">
        <f t="shared" si="6"/>
        <v>1</v>
      </c>
      <c r="B70" s="217">
        <v>41883</v>
      </c>
      <c r="C70" s="3">
        <v>42643</v>
      </c>
      <c r="D70" s="3">
        <v>10362</v>
      </c>
      <c r="E70" s="3">
        <v>66054</v>
      </c>
      <c r="F70" s="3">
        <v>2925</v>
      </c>
      <c r="G70" s="3">
        <v>159740</v>
      </c>
      <c r="H70" s="3">
        <v>63847</v>
      </c>
      <c r="I70" s="3">
        <v>210970</v>
      </c>
      <c r="J70" s="3">
        <v>439</v>
      </c>
      <c r="K70" s="63">
        <v>438991</v>
      </c>
      <c r="L70" s="63">
        <v>44001</v>
      </c>
      <c r="M70" s="3">
        <v>20124</v>
      </c>
      <c r="N70" s="3">
        <v>15386</v>
      </c>
      <c r="O70" s="3">
        <v>1854</v>
      </c>
      <c r="P70" s="3">
        <v>2474</v>
      </c>
      <c r="Q70" s="3">
        <v>26787</v>
      </c>
      <c r="R70" s="218">
        <f t="shared" ref="R70:R79" si="9">SUM(C70:Q70)</f>
        <v>1106597</v>
      </c>
    </row>
    <row r="71" spans="1:18" s="180" customFormat="1" hidden="1" x14ac:dyDescent="0.2">
      <c r="A71" s="358">
        <f t="shared" si="6"/>
        <v>1</v>
      </c>
      <c r="B71" s="217">
        <v>41913</v>
      </c>
      <c r="C71" s="3">
        <v>41763</v>
      </c>
      <c r="D71" s="3">
        <v>10355</v>
      </c>
      <c r="E71" s="3">
        <v>66009</v>
      </c>
      <c r="F71" s="3">
        <v>2927</v>
      </c>
      <c r="G71" s="3">
        <v>160707</v>
      </c>
      <c r="H71" s="3">
        <v>65552</v>
      </c>
      <c r="I71" s="3">
        <v>218403</v>
      </c>
      <c r="J71" s="3">
        <v>424</v>
      </c>
      <c r="K71" s="63">
        <v>442075</v>
      </c>
      <c r="L71" s="63">
        <v>45249</v>
      </c>
      <c r="M71" s="3">
        <v>20187</v>
      </c>
      <c r="N71" s="3">
        <v>14938</v>
      </c>
      <c r="O71" s="3">
        <v>1769</v>
      </c>
      <c r="P71" s="3">
        <v>2533</v>
      </c>
      <c r="Q71" s="3">
        <v>27229</v>
      </c>
      <c r="R71" s="218">
        <f t="shared" si="9"/>
        <v>1120120</v>
      </c>
    </row>
    <row r="72" spans="1:18" s="180" customFormat="1" hidden="1" x14ac:dyDescent="0.2">
      <c r="A72" s="358">
        <f t="shared" si="6"/>
        <v>1</v>
      </c>
      <c r="B72" s="217">
        <v>41944</v>
      </c>
      <c r="C72" s="3">
        <v>41918</v>
      </c>
      <c r="D72" s="3">
        <v>10341</v>
      </c>
      <c r="E72" s="3">
        <v>66343</v>
      </c>
      <c r="F72" s="3">
        <v>3023</v>
      </c>
      <c r="G72" s="3">
        <v>158375</v>
      </c>
      <c r="H72" s="3">
        <v>66811</v>
      </c>
      <c r="I72" s="3">
        <v>222465</v>
      </c>
      <c r="J72" s="3">
        <v>425</v>
      </c>
      <c r="K72" s="63">
        <v>442141</v>
      </c>
      <c r="L72" s="63">
        <v>46654</v>
      </c>
      <c r="M72" s="3">
        <v>20140</v>
      </c>
      <c r="N72" s="3">
        <v>14691</v>
      </c>
      <c r="O72" s="3">
        <v>1733</v>
      </c>
      <c r="P72" s="3">
        <v>2444</v>
      </c>
      <c r="Q72" s="3">
        <v>27601</v>
      </c>
      <c r="R72" s="218">
        <f t="shared" si="9"/>
        <v>1125105</v>
      </c>
    </row>
    <row r="73" spans="1:18" s="180" customFormat="1" hidden="1" x14ac:dyDescent="0.2">
      <c r="A73" s="358">
        <f t="shared" si="6"/>
        <v>1</v>
      </c>
      <c r="B73" s="217">
        <v>41974</v>
      </c>
      <c r="C73" s="3">
        <v>41927</v>
      </c>
      <c r="D73" s="3">
        <v>10404</v>
      </c>
      <c r="E73" s="3">
        <v>66441</v>
      </c>
      <c r="F73" s="3">
        <v>3556</v>
      </c>
      <c r="G73" s="3">
        <v>162727</v>
      </c>
      <c r="H73" s="3">
        <v>70288</v>
      </c>
      <c r="I73" s="3">
        <v>237045</v>
      </c>
      <c r="J73" s="3">
        <v>396</v>
      </c>
      <c r="K73" s="63">
        <v>446354</v>
      </c>
      <c r="L73" s="63">
        <v>47275</v>
      </c>
      <c r="M73" s="3">
        <v>20056</v>
      </c>
      <c r="N73" s="3">
        <v>14542</v>
      </c>
      <c r="O73" s="3">
        <v>1675</v>
      </c>
      <c r="P73" s="3">
        <v>2541</v>
      </c>
      <c r="Q73" s="3">
        <v>27944</v>
      </c>
      <c r="R73" s="218">
        <f t="shared" si="9"/>
        <v>1153171</v>
      </c>
    </row>
    <row r="74" spans="1:18" s="180" customFormat="1" hidden="1" x14ac:dyDescent="0.2">
      <c r="A74" s="358">
        <f t="shared" si="6"/>
        <v>1</v>
      </c>
      <c r="B74" s="217">
        <v>42005</v>
      </c>
      <c r="C74" s="3">
        <v>41392</v>
      </c>
      <c r="D74" s="3">
        <v>10395</v>
      </c>
      <c r="E74" s="3">
        <v>66758</v>
      </c>
      <c r="F74" s="3">
        <v>3772</v>
      </c>
      <c r="G74" s="3">
        <v>160406</v>
      </c>
      <c r="H74" s="3">
        <v>76807</v>
      </c>
      <c r="I74" s="3">
        <v>247056</v>
      </c>
      <c r="J74" s="3">
        <v>379</v>
      </c>
      <c r="K74" s="3">
        <v>444669</v>
      </c>
      <c r="L74" s="3">
        <v>53548</v>
      </c>
      <c r="M74" s="3">
        <v>19951</v>
      </c>
      <c r="N74" s="3">
        <v>14590</v>
      </c>
      <c r="O74" s="3">
        <v>1772</v>
      </c>
      <c r="P74" s="3">
        <v>2811</v>
      </c>
      <c r="Q74" s="3">
        <v>28226</v>
      </c>
      <c r="R74" s="218">
        <f t="shared" si="9"/>
        <v>1172532</v>
      </c>
    </row>
    <row r="75" spans="1:18" s="180" customFormat="1" hidden="1" x14ac:dyDescent="0.2">
      <c r="A75" s="358">
        <f t="shared" si="6"/>
        <v>1</v>
      </c>
      <c r="B75" s="217">
        <v>42036</v>
      </c>
      <c r="C75" s="3">
        <v>41334</v>
      </c>
      <c r="D75" s="3">
        <v>10532</v>
      </c>
      <c r="E75" s="3">
        <v>66651</v>
      </c>
      <c r="F75" s="3">
        <v>4112</v>
      </c>
      <c r="G75" s="3">
        <v>161480</v>
      </c>
      <c r="H75" s="3">
        <v>78910</v>
      </c>
      <c r="I75" s="3">
        <v>261108</v>
      </c>
      <c r="J75" s="3">
        <v>368</v>
      </c>
      <c r="K75" s="3">
        <v>446886</v>
      </c>
      <c r="L75" s="3">
        <v>55445</v>
      </c>
      <c r="M75" s="3">
        <v>19932</v>
      </c>
      <c r="N75" s="3">
        <v>14643</v>
      </c>
      <c r="O75" s="3">
        <v>1795</v>
      </c>
      <c r="P75" s="3">
        <v>2775</v>
      </c>
      <c r="Q75" s="3">
        <v>28158</v>
      </c>
      <c r="R75" s="218">
        <f t="shared" si="9"/>
        <v>1194129</v>
      </c>
    </row>
    <row r="76" spans="1:18" s="180" customFormat="1" hidden="1" x14ac:dyDescent="0.2">
      <c r="A76" s="358">
        <f t="shared" si="6"/>
        <v>1</v>
      </c>
      <c r="B76" s="217">
        <v>42064</v>
      </c>
      <c r="C76" s="3">
        <v>41518</v>
      </c>
      <c r="D76" s="3">
        <v>10615</v>
      </c>
      <c r="E76" s="3">
        <v>66974</v>
      </c>
      <c r="F76" s="3">
        <v>4226</v>
      </c>
      <c r="G76" s="3">
        <v>163641</v>
      </c>
      <c r="H76" s="3">
        <v>80068</v>
      </c>
      <c r="I76" s="3">
        <v>267714</v>
      </c>
      <c r="J76" s="3">
        <v>368</v>
      </c>
      <c r="K76" s="3">
        <v>450778</v>
      </c>
      <c r="L76" s="3">
        <v>56155</v>
      </c>
      <c r="M76" s="3">
        <v>19925</v>
      </c>
      <c r="N76" s="3">
        <v>14804</v>
      </c>
      <c r="O76" s="3">
        <v>1810</v>
      </c>
      <c r="P76" s="3">
        <v>2984</v>
      </c>
      <c r="Q76" s="3">
        <v>28332</v>
      </c>
      <c r="R76" s="218">
        <f t="shared" si="9"/>
        <v>1209912</v>
      </c>
    </row>
    <row r="77" spans="1:18" s="180" customFormat="1" hidden="1" x14ac:dyDescent="0.2">
      <c r="A77" s="358">
        <f t="shared" si="6"/>
        <v>1</v>
      </c>
      <c r="B77" s="217">
        <v>42095</v>
      </c>
      <c r="C77" s="3">
        <v>41621</v>
      </c>
      <c r="D77" s="3">
        <v>10690</v>
      </c>
      <c r="E77" s="3">
        <v>67110</v>
      </c>
      <c r="F77" s="3">
        <v>4161</v>
      </c>
      <c r="G77" s="3">
        <v>165835</v>
      </c>
      <c r="H77" s="3">
        <v>79437</v>
      </c>
      <c r="I77" s="3">
        <v>273043</v>
      </c>
      <c r="J77" s="3">
        <v>361</v>
      </c>
      <c r="K77" s="3">
        <v>455223</v>
      </c>
      <c r="L77" s="3">
        <v>55565</v>
      </c>
      <c r="M77" s="3">
        <v>19982</v>
      </c>
      <c r="N77" s="3">
        <v>14954</v>
      </c>
      <c r="O77" s="3">
        <v>1743</v>
      </c>
      <c r="P77" s="3">
        <v>3096</v>
      </c>
      <c r="Q77" s="3">
        <v>29170</v>
      </c>
      <c r="R77" s="218">
        <f t="shared" si="9"/>
        <v>1221991</v>
      </c>
    </row>
    <row r="78" spans="1:18" s="180" customFormat="1" hidden="1" x14ac:dyDescent="0.2">
      <c r="A78" s="358">
        <f t="shared" si="6"/>
        <v>1</v>
      </c>
      <c r="B78" s="217">
        <v>42125</v>
      </c>
      <c r="C78" s="3">
        <v>41778</v>
      </c>
      <c r="D78" s="3">
        <v>10703</v>
      </c>
      <c r="E78" s="3">
        <v>67261</v>
      </c>
      <c r="F78" s="3">
        <v>4279</v>
      </c>
      <c r="G78" s="3">
        <v>167183</v>
      </c>
      <c r="H78" s="3">
        <v>79417</v>
      </c>
      <c r="I78" s="3">
        <v>278709</v>
      </c>
      <c r="J78" s="3">
        <v>358</v>
      </c>
      <c r="K78" s="3">
        <v>456426</v>
      </c>
      <c r="L78" s="3">
        <v>56104</v>
      </c>
      <c r="M78" s="3">
        <v>19945</v>
      </c>
      <c r="N78" s="3">
        <v>14914</v>
      </c>
      <c r="O78" s="3">
        <v>1694</v>
      </c>
      <c r="P78" s="3">
        <v>3070</v>
      </c>
      <c r="Q78" s="3">
        <v>30224</v>
      </c>
      <c r="R78" s="218">
        <f t="shared" si="9"/>
        <v>1232065</v>
      </c>
    </row>
    <row r="79" spans="1:18" s="180" customFormat="1" hidden="1" x14ac:dyDescent="0.2">
      <c r="A79" s="358">
        <f t="shared" si="6"/>
        <v>1</v>
      </c>
      <c r="B79" s="217">
        <v>42156</v>
      </c>
      <c r="C79" s="3">
        <v>41849</v>
      </c>
      <c r="D79" s="3">
        <v>10503</v>
      </c>
      <c r="E79" s="3">
        <v>67726</v>
      </c>
      <c r="F79" s="3">
        <v>4509</v>
      </c>
      <c r="G79" s="3">
        <v>169912</v>
      </c>
      <c r="H79" s="3">
        <v>79036</v>
      </c>
      <c r="I79" s="3">
        <v>282910</v>
      </c>
      <c r="J79" s="3">
        <v>352</v>
      </c>
      <c r="K79" s="3">
        <v>457855</v>
      </c>
      <c r="L79" s="3">
        <v>57059</v>
      </c>
      <c r="M79" s="3">
        <v>19791</v>
      </c>
      <c r="N79" s="3">
        <v>14822</v>
      </c>
      <c r="O79" s="3">
        <v>1665</v>
      </c>
      <c r="P79" s="3">
        <v>2885</v>
      </c>
      <c r="Q79" s="3">
        <v>30560</v>
      </c>
      <c r="R79" s="218">
        <f t="shared" si="9"/>
        <v>1241434</v>
      </c>
    </row>
    <row r="80" spans="1:18" s="180" customFormat="1" hidden="1" x14ac:dyDescent="0.2">
      <c r="A80" s="358">
        <f t="shared" si="6"/>
        <v>1</v>
      </c>
      <c r="B80" s="221" t="s">
        <v>278</v>
      </c>
      <c r="C80" s="7">
        <f>ROUND(AVERAGE(C68:C79),0)</f>
        <v>41817</v>
      </c>
      <c r="D80" s="7">
        <f t="shared" ref="D80:Q80" si="10">ROUND(AVERAGE(D68:D79),0)</f>
        <v>10466</v>
      </c>
      <c r="E80" s="7">
        <f t="shared" si="10"/>
        <v>66548</v>
      </c>
      <c r="F80" s="7">
        <f t="shared" si="10"/>
        <v>3627</v>
      </c>
      <c r="G80" s="7">
        <f t="shared" si="10"/>
        <v>161682</v>
      </c>
      <c r="H80" s="7">
        <f t="shared" si="10"/>
        <v>71989</v>
      </c>
      <c r="I80" s="7">
        <f>ROUND(AVERAGE(I68:I79),0)</f>
        <v>241392</v>
      </c>
      <c r="J80" s="7">
        <f>ROUND(AVERAGE(J68:J79),0)</f>
        <v>400</v>
      </c>
      <c r="K80" s="7">
        <f>ROUND(AVERAGE(K68:K79),0)</f>
        <v>445723</v>
      </c>
      <c r="L80" s="7">
        <f t="shared" si="10"/>
        <v>50113</v>
      </c>
      <c r="M80" s="7">
        <f t="shared" si="10"/>
        <v>20036</v>
      </c>
      <c r="N80" s="7">
        <f t="shared" si="10"/>
        <v>14897</v>
      </c>
      <c r="O80" s="7">
        <f t="shared" si="10"/>
        <v>1749</v>
      </c>
      <c r="P80" s="7">
        <f t="shared" si="10"/>
        <v>2722</v>
      </c>
      <c r="Q80" s="7">
        <f t="shared" si="10"/>
        <v>28045</v>
      </c>
      <c r="R80" s="222">
        <f>SUM(C80:Q80)</f>
        <v>1161206</v>
      </c>
    </row>
    <row r="81" spans="1:18" s="180" customFormat="1" x14ac:dyDescent="0.2">
      <c r="A81" s="358">
        <f t="shared" si="6"/>
        <v>1</v>
      </c>
      <c r="B81" s="217">
        <v>42186</v>
      </c>
      <c r="C81" s="3">
        <v>41661</v>
      </c>
      <c r="D81" s="3">
        <v>10437</v>
      </c>
      <c r="E81" s="3">
        <v>72760</v>
      </c>
      <c r="F81" s="3">
        <v>5670</v>
      </c>
      <c r="G81" s="3">
        <v>169316</v>
      </c>
      <c r="H81" s="3">
        <v>79502</v>
      </c>
      <c r="I81" s="3">
        <v>287183</v>
      </c>
      <c r="J81" s="3">
        <v>344</v>
      </c>
      <c r="K81" s="3">
        <v>454996</v>
      </c>
      <c r="L81" s="3">
        <v>56220</v>
      </c>
      <c r="M81" s="3">
        <v>19578</v>
      </c>
      <c r="N81" s="3">
        <v>14627</v>
      </c>
      <c r="O81" s="3">
        <v>1596</v>
      </c>
      <c r="P81" s="3">
        <v>2774</v>
      </c>
      <c r="Q81" s="3">
        <v>30877</v>
      </c>
      <c r="R81" s="218">
        <v>1247541</v>
      </c>
    </row>
    <row r="82" spans="1:18" s="180" customFormat="1" x14ac:dyDescent="0.2">
      <c r="A82" s="358">
        <f t="shared" si="6"/>
        <v>1</v>
      </c>
      <c r="B82" s="217">
        <v>42217</v>
      </c>
      <c r="C82" s="3">
        <v>41909</v>
      </c>
      <c r="D82" s="3">
        <v>10423</v>
      </c>
      <c r="E82" s="3">
        <v>71167</v>
      </c>
      <c r="F82" s="3">
        <v>9733</v>
      </c>
      <c r="G82" s="3">
        <v>169140</v>
      </c>
      <c r="H82" s="3">
        <v>81001</v>
      </c>
      <c r="I82" s="3">
        <v>293155</v>
      </c>
      <c r="J82" s="3">
        <v>342</v>
      </c>
      <c r="K82" s="3">
        <v>457343</v>
      </c>
      <c r="L82" s="3">
        <v>57355</v>
      </c>
      <c r="M82" s="3">
        <v>19676</v>
      </c>
      <c r="N82" s="3">
        <v>14466</v>
      </c>
      <c r="O82" s="3">
        <v>1615</v>
      </c>
      <c r="P82" s="3">
        <v>2699</v>
      </c>
      <c r="Q82" s="3">
        <v>31244</v>
      </c>
      <c r="R82" s="218">
        <v>1261268</v>
      </c>
    </row>
    <row r="83" spans="1:18" s="180" customFormat="1" x14ac:dyDescent="0.2">
      <c r="A83" s="358">
        <f t="shared" si="6"/>
        <v>1</v>
      </c>
      <c r="B83" s="217">
        <v>42248</v>
      </c>
      <c r="C83" s="3">
        <v>42134</v>
      </c>
      <c r="D83" s="3">
        <v>10348</v>
      </c>
      <c r="E83" s="3">
        <v>68765</v>
      </c>
      <c r="F83" s="3">
        <v>10175</v>
      </c>
      <c r="G83" s="3">
        <v>169127</v>
      </c>
      <c r="H83" s="3">
        <v>82010</v>
      </c>
      <c r="I83" s="3">
        <v>297680</v>
      </c>
      <c r="J83" s="3">
        <v>342</v>
      </c>
      <c r="K83" s="3">
        <v>461317</v>
      </c>
      <c r="L83" s="3">
        <v>58330</v>
      </c>
      <c r="M83" s="3">
        <v>19776</v>
      </c>
      <c r="N83" s="3">
        <v>14204</v>
      </c>
      <c r="O83" s="3">
        <v>1614</v>
      </c>
      <c r="P83" s="3">
        <v>2635</v>
      </c>
      <c r="Q83" s="3">
        <v>31278</v>
      </c>
      <c r="R83" s="218">
        <v>1269735</v>
      </c>
    </row>
    <row r="84" spans="1:18" s="180" customFormat="1" x14ac:dyDescent="0.2">
      <c r="A84" s="358">
        <f t="shared" si="6"/>
        <v>1</v>
      </c>
      <c r="B84" s="217">
        <v>42278</v>
      </c>
      <c r="C84" s="3">
        <v>41817</v>
      </c>
      <c r="D84" s="3">
        <v>10190</v>
      </c>
      <c r="E84" s="3">
        <v>68576</v>
      </c>
      <c r="F84" s="3">
        <v>6030</v>
      </c>
      <c r="G84" s="3">
        <v>167734</v>
      </c>
      <c r="H84" s="3">
        <v>82642</v>
      </c>
      <c r="I84" s="3">
        <v>302362</v>
      </c>
      <c r="J84" s="3">
        <v>336</v>
      </c>
      <c r="K84" s="3">
        <v>466623</v>
      </c>
      <c r="L84" s="3">
        <v>58336</v>
      </c>
      <c r="M84" s="3">
        <v>19814</v>
      </c>
      <c r="N84" s="3">
        <v>13139</v>
      </c>
      <c r="O84" s="3">
        <v>1568</v>
      </c>
      <c r="P84" s="3">
        <v>2491</v>
      </c>
      <c r="Q84" s="3">
        <v>31293</v>
      </c>
      <c r="R84" s="218">
        <v>1272951</v>
      </c>
    </row>
    <row r="85" spans="1:18" s="180" customFormat="1" x14ac:dyDescent="0.2">
      <c r="A85" s="358">
        <f t="shared" si="6"/>
        <v>1</v>
      </c>
      <c r="B85" s="217">
        <v>42309</v>
      </c>
      <c r="C85" s="3">
        <v>42456</v>
      </c>
      <c r="D85" s="3">
        <v>10429</v>
      </c>
      <c r="E85" s="3">
        <v>69113</v>
      </c>
      <c r="F85" s="3">
        <v>5539</v>
      </c>
      <c r="G85" s="3">
        <v>162975</v>
      </c>
      <c r="H85" s="3">
        <v>85784</v>
      </c>
      <c r="I85" s="3">
        <v>310294</v>
      </c>
      <c r="J85" s="3">
        <v>324</v>
      </c>
      <c r="K85" s="3">
        <v>466734</v>
      </c>
      <c r="L85" s="3">
        <v>59640</v>
      </c>
      <c r="M85" s="3">
        <v>19936</v>
      </c>
      <c r="N85" s="3">
        <v>14428</v>
      </c>
      <c r="O85" s="3">
        <v>1743</v>
      </c>
      <c r="P85" s="3">
        <v>2605</v>
      </c>
      <c r="Q85" s="3">
        <v>31903</v>
      </c>
      <c r="R85" s="218">
        <v>1283903</v>
      </c>
    </row>
    <row r="86" spans="1:18" s="180" customFormat="1" x14ac:dyDescent="0.2">
      <c r="A86" s="358">
        <f t="shared" si="6"/>
        <v>1</v>
      </c>
      <c r="B86" s="217">
        <v>42339</v>
      </c>
      <c r="C86" s="3">
        <v>42628</v>
      </c>
      <c r="D86" s="3">
        <v>10451</v>
      </c>
      <c r="E86" s="3">
        <v>68813</v>
      </c>
      <c r="F86" s="3">
        <v>5717</v>
      </c>
      <c r="G86" s="3">
        <v>163088</v>
      </c>
      <c r="H86" s="3">
        <v>87548</v>
      </c>
      <c r="I86" s="3">
        <v>320093</v>
      </c>
      <c r="J86" s="3">
        <v>318</v>
      </c>
      <c r="K86" s="3">
        <v>469009</v>
      </c>
      <c r="L86" s="3">
        <v>59867</v>
      </c>
      <c r="M86" s="3">
        <v>19975</v>
      </c>
      <c r="N86" s="3">
        <v>14252</v>
      </c>
      <c r="O86" s="3">
        <v>1846</v>
      </c>
      <c r="P86" s="3">
        <v>2616</v>
      </c>
      <c r="Q86" s="3">
        <v>32143</v>
      </c>
      <c r="R86" s="218">
        <v>1298364</v>
      </c>
    </row>
    <row r="87" spans="1:18" s="180" customFormat="1" x14ac:dyDescent="0.2">
      <c r="A87" s="358">
        <f t="shared" si="6"/>
        <v>1</v>
      </c>
      <c r="B87" s="217">
        <v>42370</v>
      </c>
      <c r="C87" s="3">
        <v>42301</v>
      </c>
      <c r="D87" s="3">
        <v>10462</v>
      </c>
      <c r="E87" s="3">
        <v>67571</v>
      </c>
      <c r="F87" s="3">
        <v>5311</v>
      </c>
      <c r="G87" s="3">
        <v>162764</v>
      </c>
      <c r="H87" s="3">
        <v>88891</v>
      </c>
      <c r="I87" s="3">
        <v>327653</v>
      </c>
      <c r="J87" s="3">
        <v>314</v>
      </c>
      <c r="K87" s="3">
        <v>470109</v>
      </c>
      <c r="L87" s="3">
        <v>59934</v>
      </c>
      <c r="M87" s="3">
        <v>19987</v>
      </c>
      <c r="N87" s="3">
        <v>14399</v>
      </c>
      <c r="O87" s="3">
        <v>1811</v>
      </c>
      <c r="P87" s="3">
        <v>2593</v>
      </c>
      <c r="Q87" s="3">
        <v>33921</v>
      </c>
      <c r="R87" s="218">
        <v>1308021</v>
      </c>
    </row>
    <row r="88" spans="1:18" s="180" customFormat="1" x14ac:dyDescent="0.2">
      <c r="A88" s="358">
        <f t="shared" si="6"/>
        <v>1</v>
      </c>
      <c r="B88" s="217">
        <v>42401</v>
      </c>
      <c r="C88" s="3">
        <v>42504</v>
      </c>
      <c r="D88" s="3">
        <v>10531</v>
      </c>
      <c r="E88" s="3">
        <v>67298</v>
      </c>
      <c r="F88" s="3">
        <v>5393</v>
      </c>
      <c r="G88" s="3">
        <v>162650</v>
      </c>
      <c r="H88" s="3">
        <v>89610</v>
      </c>
      <c r="I88" s="3">
        <v>331622</v>
      </c>
      <c r="J88" s="3">
        <v>310</v>
      </c>
      <c r="K88" s="3">
        <v>470758</v>
      </c>
      <c r="L88" s="3">
        <v>59950</v>
      </c>
      <c r="M88" s="3">
        <v>19963</v>
      </c>
      <c r="N88" s="3">
        <v>14381</v>
      </c>
      <c r="O88" s="3">
        <v>1846</v>
      </c>
      <c r="P88" s="3">
        <v>2631</v>
      </c>
      <c r="Q88" s="3">
        <v>33939</v>
      </c>
      <c r="R88" s="218">
        <v>1313386</v>
      </c>
    </row>
    <row r="89" spans="1:18" s="180" customFormat="1" x14ac:dyDescent="0.2">
      <c r="A89" s="358">
        <f t="shared" si="6"/>
        <v>1</v>
      </c>
      <c r="B89" s="217">
        <v>42430</v>
      </c>
      <c r="C89" s="3">
        <v>42733</v>
      </c>
      <c r="D89" s="3">
        <v>10664</v>
      </c>
      <c r="E89" s="3">
        <v>67979</v>
      </c>
      <c r="F89" s="3">
        <v>5424</v>
      </c>
      <c r="G89" s="3">
        <v>163417</v>
      </c>
      <c r="H89" s="3">
        <v>90244</v>
      </c>
      <c r="I89" s="3">
        <v>335451</v>
      </c>
      <c r="J89" s="3">
        <v>311</v>
      </c>
      <c r="K89" s="3">
        <v>472221</v>
      </c>
      <c r="L89" s="3">
        <v>60614</v>
      </c>
      <c r="M89" s="3">
        <v>20028</v>
      </c>
      <c r="N89" s="3">
        <v>14619</v>
      </c>
      <c r="O89" s="3">
        <v>1856</v>
      </c>
      <c r="P89" s="3">
        <v>2722</v>
      </c>
      <c r="Q89" s="3">
        <v>33442</v>
      </c>
      <c r="R89" s="218">
        <v>1321725</v>
      </c>
    </row>
    <row r="90" spans="1:18" s="180" customFormat="1" x14ac:dyDescent="0.2">
      <c r="A90" s="358">
        <f t="shared" si="6"/>
        <v>1</v>
      </c>
      <c r="B90" s="217">
        <v>42461</v>
      </c>
      <c r="C90" s="3">
        <v>42778</v>
      </c>
      <c r="D90" s="3">
        <v>10749</v>
      </c>
      <c r="E90" s="3">
        <v>67828</v>
      </c>
      <c r="F90" s="3">
        <v>5192</v>
      </c>
      <c r="G90" s="3">
        <v>161967</v>
      </c>
      <c r="H90" s="3">
        <v>90644</v>
      </c>
      <c r="I90" s="3">
        <v>340862</v>
      </c>
      <c r="J90" s="3">
        <v>308</v>
      </c>
      <c r="K90" s="3">
        <v>472964</v>
      </c>
      <c r="L90" s="3">
        <v>60790</v>
      </c>
      <c r="M90" s="3">
        <v>20133</v>
      </c>
      <c r="N90" s="3">
        <v>14675</v>
      </c>
      <c r="O90" s="3">
        <v>1846</v>
      </c>
      <c r="P90" s="3">
        <v>2675</v>
      </c>
      <c r="Q90" s="3">
        <v>33478</v>
      </c>
      <c r="R90" s="218">
        <v>1326889</v>
      </c>
    </row>
    <row r="91" spans="1:18" s="180" customFormat="1" x14ac:dyDescent="0.2">
      <c r="A91" s="358">
        <f t="shared" si="6"/>
        <v>1</v>
      </c>
      <c r="B91" s="217">
        <v>42491</v>
      </c>
      <c r="C91" s="3">
        <v>42900</v>
      </c>
      <c r="D91" s="3">
        <v>10788</v>
      </c>
      <c r="E91" s="3">
        <v>67842</v>
      </c>
      <c r="F91" s="3">
        <v>5152</v>
      </c>
      <c r="G91" s="3">
        <v>155252</v>
      </c>
      <c r="H91" s="3">
        <v>92385</v>
      </c>
      <c r="I91" s="3">
        <v>347731</v>
      </c>
      <c r="J91" s="3">
        <v>308</v>
      </c>
      <c r="K91" s="3">
        <v>472199</v>
      </c>
      <c r="L91" s="3">
        <v>61169</v>
      </c>
      <c r="M91" s="3">
        <v>20196</v>
      </c>
      <c r="N91" s="3">
        <v>14884</v>
      </c>
      <c r="O91" s="3">
        <v>1870</v>
      </c>
      <c r="P91" s="3">
        <v>2707</v>
      </c>
      <c r="Q91" s="3">
        <v>33693</v>
      </c>
      <c r="R91" s="218">
        <v>1329076</v>
      </c>
    </row>
    <row r="92" spans="1:18" s="180" customFormat="1" x14ac:dyDescent="0.2">
      <c r="A92" s="358">
        <f t="shared" si="6"/>
        <v>1</v>
      </c>
      <c r="B92" s="217">
        <v>42522</v>
      </c>
      <c r="C92" s="3">
        <v>43015</v>
      </c>
      <c r="D92" s="3">
        <v>10876</v>
      </c>
      <c r="E92" s="3">
        <v>67891</v>
      </c>
      <c r="F92" s="3">
        <v>5265</v>
      </c>
      <c r="G92" s="3">
        <v>152679</v>
      </c>
      <c r="H92" s="3">
        <v>93307</v>
      </c>
      <c r="I92" s="3">
        <v>350396</v>
      </c>
      <c r="J92" s="3">
        <v>304</v>
      </c>
      <c r="K92" s="3">
        <v>472050</v>
      </c>
      <c r="L92" s="3">
        <v>61808</v>
      </c>
      <c r="M92" s="3">
        <v>20162</v>
      </c>
      <c r="N92" s="3">
        <v>14883</v>
      </c>
      <c r="O92" s="3">
        <v>1893</v>
      </c>
      <c r="P92" s="3">
        <v>2635</v>
      </c>
      <c r="Q92" s="3">
        <v>33813</v>
      </c>
      <c r="R92" s="218">
        <v>1330977</v>
      </c>
    </row>
    <row r="93" spans="1:18" s="180" customFormat="1" x14ac:dyDescent="0.2">
      <c r="A93" s="358">
        <f t="shared" si="6"/>
        <v>1</v>
      </c>
      <c r="B93" s="221" t="s">
        <v>322</v>
      </c>
      <c r="C93" s="7">
        <v>42403</v>
      </c>
      <c r="D93" s="7">
        <v>10529</v>
      </c>
      <c r="E93" s="7">
        <v>68800</v>
      </c>
      <c r="F93" s="7">
        <v>6217</v>
      </c>
      <c r="G93" s="7">
        <v>163342</v>
      </c>
      <c r="H93" s="7">
        <v>86964</v>
      </c>
      <c r="I93" s="7">
        <v>320374</v>
      </c>
      <c r="J93" s="7">
        <v>322</v>
      </c>
      <c r="K93" s="7">
        <v>467193</v>
      </c>
      <c r="L93" s="7">
        <v>59501</v>
      </c>
      <c r="M93" s="7">
        <v>19935</v>
      </c>
      <c r="N93" s="7">
        <v>14413</v>
      </c>
      <c r="O93" s="7">
        <v>1759</v>
      </c>
      <c r="P93" s="7">
        <v>2649</v>
      </c>
      <c r="Q93" s="7">
        <v>32585</v>
      </c>
      <c r="R93" s="222">
        <v>1296986</v>
      </c>
    </row>
    <row r="94" spans="1:18" s="180" customFormat="1" x14ac:dyDescent="0.2">
      <c r="A94" s="358">
        <f t="shared" si="6"/>
        <v>1</v>
      </c>
      <c r="B94" s="217">
        <v>42552</v>
      </c>
      <c r="C94" s="3">
        <v>43104</v>
      </c>
      <c r="D94" s="3">
        <v>10931</v>
      </c>
      <c r="E94" s="3">
        <v>67836</v>
      </c>
      <c r="F94" s="3">
        <v>5334</v>
      </c>
      <c r="G94" s="3">
        <v>150888</v>
      </c>
      <c r="H94" s="3">
        <v>90622</v>
      </c>
      <c r="I94" s="3">
        <v>351908</v>
      </c>
      <c r="J94" s="3">
        <v>313</v>
      </c>
      <c r="K94" s="3">
        <v>470963</v>
      </c>
      <c r="L94" s="3">
        <v>62982</v>
      </c>
      <c r="M94" s="3">
        <v>20118</v>
      </c>
      <c r="N94" s="3">
        <v>14896</v>
      </c>
      <c r="O94" s="3">
        <v>1883</v>
      </c>
      <c r="P94" s="3">
        <v>2630</v>
      </c>
      <c r="Q94" s="3">
        <v>33512</v>
      </c>
      <c r="R94" s="218">
        <v>1327920</v>
      </c>
    </row>
    <row r="95" spans="1:18" s="180" customFormat="1" x14ac:dyDescent="0.2">
      <c r="A95" s="358">
        <f t="shared" si="6"/>
        <v>1</v>
      </c>
      <c r="B95" s="217">
        <v>42583</v>
      </c>
      <c r="C95" s="3">
        <v>43374</v>
      </c>
      <c r="D95" s="3">
        <v>11011</v>
      </c>
      <c r="E95" s="3">
        <v>67906</v>
      </c>
      <c r="F95" s="3">
        <v>5452</v>
      </c>
      <c r="G95" s="3">
        <v>150673</v>
      </c>
      <c r="H95" s="3">
        <v>91044</v>
      </c>
      <c r="I95" s="3">
        <v>359971</v>
      </c>
      <c r="J95" s="3">
        <v>310</v>
      </c>
      <c r="K95" s="3">
        <v>471980</v>
      </c>
      <c r="L95" s="3">
        <v>63715</v>
      </c>
      <c r="M95" s="3">
        <v>20203</v>
      </c>
      <c r="N95" s="3">
        <v>14911</v>
      </c>
      <c r="O95" s="3">
        <v>1872</v>
      </c>
      <c r="P95" s="3">
        <v>2634</v>
      </c>
      <c r="Q95" s="3">
        <v>33636</v>
      </c>
      <c r="R95" s="218">
        <v>1338692</v>
      </c>
    </row>
    <row r="96" spans="1:18" s="180" customFormat="1" x14ac:dyDescent="0.2">
      <c r="A96" s="358">
        <f t="shared" si="6"/>
        <v>1</v>
      </c>
      <c r="B96" s="217">
        <v>42614</v>
      </c>
      <c r="C96" s="3">
        <v>43633</v>
      </c>
      <c r="D96" s="3">
        <v>11039</v>
      </c>
      <c r="E96" s="3">
        <v>68043</v>
      </c>
      <c r="F96" s="3">
        <v>5598</v>
      </c>
      <c r="G96" s="3">
        <v>151271</v>
      </c>
      <c r="H96" s="3">
        <v>90010</v>
      </c>
      <c r="I96" s="3">
        <v>356125</v>
      </c>
      <c r="J96" s="3">
        <v>311</v>
      </c>
      <c r="K96" s="3">
        <v>471754</v>
      </c>
      <c r="L96" s="3">
        <v>64431</v>
      </c>
      <c r="M96" s="3">
        <v>20296</v>
      </c>
      <c r="N96" s="3">
        <v>14401</v>
      </c>
      <c r="O96" s="3">
        <v>1797</v>
      </c>
      <c r="P96" s="3">
        <v>2571</v>
      </c>
      <c r="Q96" s="3">
        <v>33623</v>
      </c>
      <c r="R96" s="218">
        <v>1334903</v>
      </c>
    </row>
    <row r="97" spans="1:18" s="180" customFormat="1" x14ac:dyDescent="0.2">
      <c r="A97" s="358">
        <f t="shared" si="6"/>
        <v>1</v>
      </c>
      <c r="B97" s="217">
        <v>42644</v>
      </c>
      <c r="C97" s="3">
        <v>43725</v>
      </c>
      <c r="D97" s="3">
        <v>11131</v>
      </c>
      <c r="E97" s="3">
        <v>67951</v>
      </c>
      <c r="F97" s="3">
        <v>5825</v>
      </c>
      <c r="G97" s="3">
        <v>153579</v>
      </c>
      <c r="H97" s="3">
        <v>88537</v>
      </c>
      <c r="I97" s="3">
        <v>353370</v>
      </c>
      <c r="J97" s="3">
        <v>312</v>
      </c>
      <c r="K97" s="3">
        <v>471116</v>
      </c>
      <c r="L97" s="3">
        <v>64454</v>
      </c>
      <c r="M97" s="3">
        <v>20260</v>
      </c>
      <c r="N97" s="3">
        <v>14168</v>
      </c>
      <c r="O97" s="3">
        <v>1790</v>
      </c>
      <c r="P97" s="3">
        <v>2455</v>
      </c>
      <c r="Q97" s="3">
        <v>33461</v>
      </c>
      <c r="R97" s="218">
        <v>1332134</v>
      </c>
    </row>
    <row r="98" spans="1:18" s="180" customFormat="1" x14ac:dyDescent="0.2">
      <c r="A98" s="358">
        <f t="shared" si="6"/>
        <v>1</v>
      </c>
      <c r="B98" s="217">
        <v>42675</v>
      </c>
      <c r="C98" s="63">
        <v>43913</v>
      </c>
      <c r="D98" s="63">
        <v>11233</v>
      </c>
      <c r="E98" s="63">
        <v>67914</v>
      </c>
      <c r="F98" s="63">
        <v>5918</v>
      </c>
      <c r="G98" s="63">
        <v>155687</v>
      </c>
      <c r="H98" s="63">
        <v>90158</v>
      </c>
      <c r="I98" s="63">
        <v>358986</v>
      </c>
      <c r="J98" s="63">
        <v>306</v>
      </c>
      <c r="K98" s="63">
        <v>473863</v>
      </c>
      <c r="L98" s="63">
        <v>61650</v>
      </c>
      <c r="M98" s="63">
        <v>20306</v>
      </c>
      <c r="N98" s="63">
        <v>13876</v>
      </c>
      <c r="O98" s="63">
        <v>1738</v>
      </c>
      <c r="P98" s="63">
        <v>2434</v>
      </c>
      <c r="Q98" s="63">
        <v>33416</v>
      </c>
      <c r="R98" s="218">
        <v>1341398</v>
      </c>
    </row>
    <row r="99" spans="1:18" s="180" customFormat="1" x14ac:dyDescent="0.2">
      <c r="A99" s="358">
        <f t="shared" si="6"/>
        <v>1</v>
      </c>
      <c r="B99" s="217">
        <v>42705</v>
      </c>
      <c r="C99" s="3">
        <v>43481</v>
      </c>
      <c r="D99" s="3">
        <v>11181</v>
      </c>
      <c r="E99" s="3">
        <v>66509</v>
      </c>
      <c r="F99" s="3">
        <v>6114</v>
      </c>
      <c r="G99" s="3">
        <v>157155</v>
      </c>
      <c r="H99" s="3">
        <v>90730</v>
      </c>
      <c r="I99" s="3">
        <v>362193</v>
      </c>
      <c r="J99" s="3">
        <v>303</v>
      </c>
      <c r="K99" s="3">
        <v>472054</v>
      </c>
      <c r="L99" s="3">
        <v>62524</v>
      </c>
      <c r="M99" s="3">
        <v>20296</v>
      </c>
      <c r="N99" s="3">
        <v>13608</v>
      </c>
      <c r="O99" s="3">
        <v>1736</v>
      </c>
      <c r="P99" s="3">
        <v>2430</v>
      </c>
      <c r="Q99" s="3">
        <v>33390</v>
      </c>
      <c r="R99" s="218">
        <v>1343704</v>
      </c>
    </row>
    <row r="100" spans="1:18" s="180" customFormat="1" x14ac:dyDescent="0.2">
      <c r="A100" s="358">
        <f t="shared" si="6"/>
        <v>1</v>
      </c>
      <c r="B100" s="217">
        <v>42736</v>
      </c>
      <c r="C100" s="3">
        <v>43888</v>
      </c>
      <c r="D100" s="3">
        <v>11405</v>
      </c>
      <c r="E100" s="3">
        <v>68174</v>
      </c>
      <c r="F100" s="3">
        <v>6267</v>
      </c>
      <c r="G100" s="3">
        <v>158234</v>
      </c>
      <c r="H100" s="3">
        <v>87555</v>
      </c>
      <c r="I100" s="3">
        <v>362098</v>
      </c>
      <c r="J100" s="3">
        <v>295</v>
      </c>
      <c r="K100" s="3">
        <v>469992</v>
      </c>
      <c r="L100" s="3">
        <v>64732</v>
      </c>
      <c r="M100" s="3">
        <v>20297</v>
      </c>
      <c r="N100" s="3">
        <v>13527</v>
      </c>
      <c r="O100" s="3">
        <v>1816</v>
      </c>
      <c r="P100" s="3">
        <v>2526</v>
      </c>
      <c r="Q100" s="3">
        <v>33173</v>
      </c>
      <c r="R100" s="218">
        <v>1343979</v>
      </c>
    </row>
    <row r="101" spans="1:18" s="180" customFormat="1" x14ac:dyDescent="0.2">
      <c r="A101" s="358">
        <f t="shared" si="6"/>
        <v>1</v>
      </c>
      <c r="B101" s="217">
        <v>42767</v>
      </c>
      <c r="C101" s="3">
        <v>43649</v>
      </c>
      <c r="D101" s="3">
        <v>11363</v>
      </c>
      <c r="E101" s="3">
        <v>67879</v>
      </c>
      <c r="F101" s="3">
        <v>6382</v>
      </c>
      <c r="G101" s="3">
        <v>158909</v>
      </c>
      <c r="H101" s="3">
        <v>86966</v>
      </c>
      <c r="I101" s="3">
        <v>361837</v>
      </c>
      <c r="J101" s="3">
        <v>285</v>
      </c>
      <c r="K101" s="3">
        <v>467770</v>
      </c>
      <c r="L101" s="3">
        <v>64616</v>
      </c>
      <c r="M101" s="3">
        <v>20235</v>
      </c>
      <c r="N101" s="3">
        <v>12860</v>
      </c>
      <c r="O101" s="3">
        <v>1765</v>
      </c>
      <c r="P101" s="3">
        <v>2406</v>
      </c>
      <c r="Q101" s="3">
        <v>33167</v>
      </c>
      <c r="R101" s="218">
        <v>1340089</v>
      </c>
    </row>
    <row r="102" spans="1:18" s="180" customFormat="1" x14ac:dyDescent="0.2">
      <c r="A102" s="358">
        <f t="shared" si="6"/>
        <v>1</v>
      </c>
      <c r="B102" s="217">
        <v>42795</v>
      </c>
      <c r="C102" s="3">
        <v>44261</v>
      </c>
      <c r="D102" s="3">
        <v>11397</v>
      </c>
      <c r="E102" s="3">
        <v>67558</v>
      </c>
      <c r="F102" s="3">
        <v>6964</v>
      </c>
      <c r="G102" s="3">
        <v>164569</v>
      </c>
      <c r="H102" s="3">
        <v>156205</v>
      </c>
      <c r="I102" s="3">
        <v>296427</v>
      </c>
      <c r="J102" s="3">
        <v>285</v>
      </c>
      <c r="K102" s="3">
        <v>465588</v>
      </c>
      <c r="L102" s="3">
        <v>68165</v>
      </c>
      <c r="M102" s="3">
        <v>20034</v>
      </c>
      <c r="N102" s="3">
        <v>12813</v>
      </c>
      <c r="O102" s="3">
        <v>2392</v>
      </c>
      <c r="P102" s="3">
        <v>2789</v>
      </c>
      <c r="Q102" s="3">
        <v>34322</v>
      </c>
      <c r="R102" s="218">
        <v>1353769</v>
      </c>
    </row>
    <row r="103" spans="1:18" s="180" customFormat="1" x14ac:dyDescent="0.2">
      <c r="A103" s="358">
        <f t="shared" si="6"/>
        <v>1</v>
      </c>
      <c r="B103" s="217">
        <v>42826</v>
      </c>
      <c r="C103" s="3">
        <v>44637</v>
      </c>
      <c r="D103" s="3">
        <v>11381</v>
      </c>
      <c r="E103" s="3">
        <v>67367</v>
      </c>
      <c r="F103" s="3">
        <v>7018</v>
      </c>
      <c r="G103" s="3">
        <v>174085</v>
      </c>
      <c r="H103" s="3">
        <v>141660</v>
      </c>
      <c r="I103" s="3">
        <v>309197</v>
      </c>
      <c r="J103" s="3">
        <v>279</v>
      </c>
      <c r="K103" s="3">
        <v>466511</v>
      </c>
      <c r="L103" s="3">
        <v>67508</v>
      </c>
      <c r="M103" s="3">
        <v>20433</v>
      </c>
      <c r="N103" s="3">
        <v>12786</v>
      </c>
      <c r="O103" s="3">
        <v>2321</v>
      </c>
      <c r="P103" s="3">
        <v>2868</v>
      </c>
      <c r="Q103" s="3">
        <v>34407</v>
      </c>
      <c r="R103" s="218">
        <v>1362458</v>
      </c>
    </row>
    <row r="104" spans="1:18" s="180" customFormat="1" x14ac:dyDescent="0.2">
      <c r="A104" s="358">
        <f t="shared" si="6"/>
        <v>1</v>
      </c>
      <c r="B104" s="217">
        <v>42856</v>
      </c>
      <c r="C104" s="3">
        <v>44816</v>
      </c>
      <c r="D104" s="3">
        <v>11401</v>
      </c>
      <c r="E104" s="3">
        <v>67183</v>
      </c>
      <c r="F104" s="3">
        <v>7042</v>
      </c>
      <c r="G104" s="3">
        <v>179878</v>
      </c>
      <c r="H104" s="3">
        <v>116609</v>
      </c>
      <c r="I104" s="3">
        <v>333778</v>
      </c>
      <c r="J104" s="3">
        <v>274</v>
      </c>
      <c r="K104" s="3">
        <v>467044</v>
      </c>
      <c r="L104" s="3">
        <v>67596</v>
      </c>
      <c r="M104" s="3">
        <v>20681</v>
      </c>
      <c r="N104" s="3">
        <v>12727</v>
      </c>
      <c r="O104" s="3">
        <v>2276</v>
      </c>
      <c r="P104" s="3">
        <v>2992</v>
      </c>
      <c r="Q104" s="3">
        <v>34806</v>
      </c>
      <c r="R104" s="218">
        <v>1369103</v>
      </c>
    </row>
    <row r="105" spans="1:18" s="180" customFormat="1" x14ac:dyDescent="0.2">
      <c r="A105" s="358">
        <f t="shared" si="6"/>
        <v>1</v>
      </c>
      <c r="B105" s="217">
        <v>42887</v>
      </c>
      <c r="C105" s="3">
        <v>44814</v>
      </c>
      <c r="D105" s="3">
        <v>11420</v>
      </c>
      <c r="E105" s="3">
        <v>67109</v>
      </c>
      <c r="F105" s="3">
        <v>7102</v>
      </c>
      <c r="G105" s="3">
        <v>182132</v>
      </c>
      <c r="H105" s="3">
        <v>82613</v>
      </c>
      <c r="I105" s="3">
        <v>368291</v>
      </c>
      <c r="J105" s="3">
        <v>264</v>
      </c>
      <c r="K105" s="3">
        <v>462931</v>
      </c>
      <c r="L105" s="3">
        <v>66503</v>
      </c>
      <c r="M105" s="3">
        <v>20557</v>
      </c>
      <c r="N105" s="3">
        <v>12236</v>
      </c>
      <c r="O105" s="3">
        <v>2229</v>
      </c>
      <c r="P105" s="3">
        <v>2941</v>
      </c>
      <c r="Q105" s="3">
        <v>34798</v>
      </c>
      <c r="R105" s="218">
        <v>1365940</v>
      </c>
    </row>
    <row r="106" spans="1:18" s="180" customFormat="1" x14ac:dyDescent="0.2">
      <c r="A106" s="358">
        <f t="shared" si="6"/>
        <v>1</v>
      </c>
      <c r="B106" s="221" t="s">
        <v>360</v>
      </c>
      <c r="C106" s="7">
        <v>43941</v>
      </c>
      <c r="D106" s="7">
        <v>11241</v>
      </c>
      <c r="E106" s="7">
        <v>67619</v>
      </c>
      <c r="F106" s="7">
        <v>6251</v>
      </c>
      <c r="G106" s="7">
        <v>161422</v>
      </c>
      <c r="H106" s="7">
        <v>101059</v>
      </c>
      <c r="I106" s="7">
        <v>347848</v>
      </c>
      <c r="J106" s="7">
        <v>295</v>
      </c>
      <c r="K106" s="7">
        <v>469297</v>
      </c>
      <c r="L106" s="7">
        <v>64906</v>
      </c>
      <c r="M106" s="7">
        <v>20310</v>
      </c>
      <c r="N106" s="7">
        <v>13567</v>
      </c>
      <c r="O106" s="7">
        <v>1968</v>
      </c>
      <c r="P106" s="7">
        <v>2640</v>
      </c>
      <c r="Q106" s="7">
        <v>33809</v>
      </c>
      <c r="R106" s="222">
        <v>1346173</v>
      </c>
    </row>
    <row r="107" spans="1:18" s="180" customFormat="1" x14ac:dyDescent="0.2">
      <c r="A107" s="358">
        <f t="shared" ref="A107:A118" si="11">IF(C107="",0,1)</f>
        <v>1</v>
      </c>
      <c r="B107" s="217">
        <v>42917</v>
      </c>
      <c r="C107" s="3">
        <v>44896</v>
      </c>
      <c r="D107" s="3">
        <v>11410</v>
      </c>
      <c r="E107" s="3">
        <v>67009</v>
      </c>
      <c r="F107" s="3">
        <v>7274</v>
      </c>
      <c r="G107" s="3">
        <v>181640</v>
      </c>
      <c r="H107" s="3">
        <v>82329</v>
      </c>
      <c r="I107" s="3">
        <v>370674</v>
      </c>
      <c r="J107" s="3">
        <v>150</v>
      </c>
      <c r="K107" s="3">
        <v>457780</v>
      </c>
      <c r="L107" s="3">
        <v>65467</v>
      </c>
      <c r="M107" s="3">
        <v>20651</v>
      </c>
      <c r="N107" s="3">
        <v>11545</v>
      </c>
      <c r="O107" s="3">
        <v>2177</v>
      </c>
      <c r="P107" s="3">
        <v>2925</v>
      </c>
      <c r="Q107" s="3">
        <v>34833</v>
      </c>
      <c r="R107" s="218">
        <v>1360760</v>
      </c>
    </row>
    <row r="108" spans="1:18" s="180" customFormat="1" x14ac:dyDescent="0.2">
      <c r="A108" s="358">
        <f t="shared" si="11"/>
        <v>1</v>
      </c>
      <c r="B108" s="217">
        <v>42948</v>
      </c>
      <c r="C108" s="3">
        <v>45233</v>
      </c>
      <c r="D108" s="3">
        <v>11486</v>
      </c>
      <c r="E108" s="3">
        <v>67079</v>
      </c>
      <c r="F108" s="3">
        <v>7366</v>
      </c>
      <c r="G108" s="3">
        <v>182123</v>
      </c>
      <c r="H108" s="3">
        <v>83011</v>
      </c>
      <c r="I108" s="3">
        <v>374722</v>
      </c>
      <c r="J108" s="3">
        <v>145</v>
      </c>
      <c r="K108" s="3">
        <v>457326</v>
      </c>
      <c r="L108" s="3">
        <v>66362</v>
      </c>
      <c r="M108" s="3">
        <v>20804</v>
      </c>
      <c r="N108" s="3">
        <v>11069</v>
      </c>
      <c r="O108" s="3">
        <v>2119</v>
      </c>
      <c r="P108" s="3">
        <v>2957</v>
      </c>
      <c r="Q108" s="3">
        <v>35078</v>
      </c>
      <c r="R108" s="218">
        <v>1366880</v>
      </c>
    </row>
    <row r="109" spans="1:18" s="180" customFormat="1" x14ac:dyDescent="0.2">
      <c r="A109" s="358">
        <f t="shared" si="11"/>
        <v>1</v>
      </c>
      <c r="B109" s="217">
        <v>42979</v>
      </c>
      <c r="C109" s="3">
        <v>45431</v>
      </c>
      <c r="D109" s="3">
        <v>11509</v>
      </c>
      <c r="E109" s="3">
        <v>66918</v>
      </c>
      <c r="F109" s="3">
        <v>7462</v>
      </c>
      <c r="G109" s="3">
        <v>181352</v>
      </c>
      <c r="H109" s="3">
        <v>82088</v>
      </c>
      <c r="I109" s="3">
        <v>376011</v>
      </c>
      <c r="J109" s="3">
        <v>132</v>
      </c>
      <c r="K109" s="3">
        <v>452116</v>
      </c>
      <c r="L109" s="3">
        <v>66778</v>
      </c>
      <c r="M109" s="3">
        <v>20941</v>
      </c>
      <c r="N109" s="3">
        <v>10343</v>
      </c>
      <c r="O109" s="3">
        <v>2105</v>
      </c>
      <c r="P109" s="3">
        <v>2831</v>
      </c>
      <c r="Q109" s="3">
        <v>35157</v>
      </c>
      <c r="R109" s="218">
        <v>1361174</v>
      </c>
    </row>
    <row r="110" spans="1:18" s="180" customFormat="1" x14ac:dyDescent="0.2">
      <c r="A110" s="358">
        <f t="shared" si="11"/>
        <v>1</v>
      </c>
      <c r="B110" s="217">
        <v>43009</v>
      </c>
      <c r="C110" s="3">
        <v>45606</v>
      </c>
      <c r="D110" s="3">
        <v>11558</v>
      </c>
      <c r="E110" s="3">
        <v>66985</v>
      </c>
      <c r="F110" s="3">
        <v>7797</v>
      </c>
      <c r="G110" s="3">
        <v>179385</v>
      </c>
      <c r="H110" s="3">
        <v>73998</v>
      </c>
      <c r="I110" s="3">
        <v>350968</v>
      </c>
      <c r="J110" s="3">
        <v>139</v>
      </c>
      <c r="K110" s="3">
        <v>444507</v>
      </c>
      <c r="L110" s="3">
        <v>67110</v>
      </c>
      <c r="M110" s="3">
        <v>21093</v>
      </c>
      <c r="N110" s="3">
        <v>9948</v>
      </c>
      <c r="O110" s="3">
        <v>2197</v>
      </c>
      <c r="P110" s="3">
        <v>2842</v>
      </c>
      <c r="Q110" s="3">
        <v>34883</v>
      </c>
      <c r="R110" s="218">
        <v>1319016</v>
      </c>
    </row>
    <row r="111" spans="1:18" s="180" customFormat="1" x14ac:dyDescent="0.2">
      <c r="A111" s="358">
        <f t="shared" si="11"/>
        <v>1</v>
      </c>
      <c r="B111" s="217">
        <v>43040</v>
      </c>
      <c r="C111" s="3">
        <v>45824</v>
      </c>
      <c r="D111" s="3">
        <v>11643</v>
      </c>
      <c r="E111" s="3">
        <v>67142</v>
      </c>
      <c r="F111" s="3">
        <v>7980</v>
      </c>
      <c r="G111" s="3">
        <v>179750</v>
      </c>
      <c r="H111" s="3">
        <v>71489</v>
      </c>
      <c r="I111" s="3">
        <v>350249</v>
      </c>
      <c r="J111" s="3">
        <v>149</v>
      </c>
      <c r="K111" s="3">
        <v>441219</v>
      </c>
      <c r="L111" s="3">
        <v>66946</v>
      </c>
      <c r="M111" s="3">
        <v>21305</v>
      </c>
      <c r="N111" s="3">
        <v>9601</v>
      </c>
      <c r="O111" s="3">
        <v>2222</v>
      </c>
      <c r="P111" s="3">
        <v>2716</v>
      </c>
      <c r="Q111" s="3">
        <v>34999</v>
      </c>
      <c r="R111" s="218">
        <v>1313234</v>
      </c>
    </row>
    <row r="112" spans="1:18" s="180" customFormat="1" x14ac:dyDescent="0.2">
      <c r="A112" s="358">
        <f t="shared" si="11"/>
        <v>1</v>
      </c>
      <c r="B112" s="217">
        <v>43070</v>
      </c>
      <c r="C112" s="3">
        <v>45985</v>
      </c>
      <c r="D112" s="3">
        <v>11718</v>
      </c>
      <c r="E112" s="3">
        <v>67066</v>
      </c>
      <c r="F112" s="3">
        <v>8204</v>
      </c>
      <c r="G112" s="3">
        <v>179877</v>
      </c>
      <c r="H112" s="3">
        <v>72942</v>
      </c>
      <c r="I112" s="3">
        <v>356175</v>
      </c>
      <c r="J112" s="3">
        <v>151</v>
      </c>
      <c r="K112" s="3">
        <v>439244</v>
      </c>
      <c r="L112" s="3">
        <v>66517</v>
      </c>
      <c r="M112" s="3">
        <v>21485</v>
      </c>
      <c r="N112" s="3">
        <v>9138</v>
      </c>
      <c r="O112" s="3">
        <v>2154</v>
      </c>
      <c r="P112" s="3">
        <v>2677</v>
      </c>
      <c r="Q112" s="3">
        <v>35001</v>
      </c>
      <c r="R112" s="218">
        <v>1318334</v>
      </c>
    </row>
    <row r="113" spans="1:18" s="180" customFormat="1" x14ac:dyDescent="0.2">
      <c r="A113" s="358">
        <f t="shared" si="11"/>
        <v>1</v>
      </c>
      <c r="B113" s="217">
        <v>43101</v>
      </c>
      <c r="C113" s="3">
        <v>46005</v>
      </c>
      <c r="D113" s="3">
        <v>11812</v>
      </c>
      <c r="E113" s="3">
        <v>67365</v>
      </c>
      <c r="F113" s="3">
        <v>8438</v>
      </c>
      <c r="G113" s="3">
        <v>180335</v>
      </c>
      <c r="H113" s="3">
        <v>69709</v>
      </c>
      <c r="I113" s="3">
        <v>345699</v>
      </c>
      <c r="J113" s="3">
        <v>157</v>
      </c>
      <c r="K113" s="3">
        <v>437341</v>
      </c>
      <c r="L113" s="3">
        <v>66260</v>
      </c>
      <c r="M113" s="3">
        <v>21576</v>
      </c>
      <c r="N113" s="3">
        <v>9238</v>
      </c>
      <c r="O113" s="3">
        <v>2202</v>
      </c>
      <c r="P113" s="3">
        <v>2704</v>
      </c>
      <c r="Q113" s="3">
        <v>34842</v>
      </c>
      <c r="R113" s="218">
        <v>1303683</v>
      </c>
    </row>
    <row r="114" spans="1:18" s="180" customFormat="1" x14ac:dyDescent="0.2">
      <c r="A114" s="358">
        <f t="shared" si="11"/>
        <v>1</v>
      </c>
      <c r="B114" s="217">
        <v>43132</v>
      </c>
      <c r="C114" s="3">
        <v>46038</v>
      </c>
      <c r="D114" s="3">
        <v>11860</v>
      </c>
      <c r="E114" s="3">
        <v>67688</v>
      </c>
      <c r="F114" s="3">
        <v>8663</v>
      </c>
      <c r="G114" s="3">
        <v>180744</v>
      </c>
      <c r="H114" s="3">
        <v>70071</v>
      </c>
      <c r="I114" s="3">
        <v>345064</v>
      </c>
      <c r="J114" s="3">
        <v>165</v>
      </c>
      <c r="K114" s="3">
        <v>433460</v>
      </c>
      <c r="L114" s="3">
        <v>64494</v>
      </c>
      <c r="M114" s="3">
        <v>21701</v>
      </c>
      <c r="N114" s="3">
        <v>9067</v>
      </c>
      <c r="O114" s="3">
        <v>2219</v>
      </c>
      <c r="P114" s="3">
        <v>2707</v>
      </c>
      <c r="Q114" s="3">
        <v>34868</v>
      </c>
      <c r="R114" s="218">
        <v>1298809</v>
      </c>
    </row>
    <row r="115" spans="1:18" s="180" customFormat="1" x14ac:dyDescent="0.2">
      <c r="A115" s="358">
        <f t="shared" si="11"/>
        <v>1</v>
      </c>
      <c r="B115" s="217">
        <v>43160</v>
      </c>
      <c r="C115" s="3">
        <v>46038</v>
      </c>
      <c r="D115" s="3">
        <v>11968</v>
      </c>
      <c r="E115" s="3">
        <v>67875</v>
      </c>
      <c r="F115" s="3">
        <v>8689</v>
      </c>
      <c r="G115" s="3">
        <v>176469</v>
      </c>
      <c r="H115" s="3">
        <v>74829</v>
      </c>
      <c r="I115" s="3">
        <v>344991</v>
      </c>
      <c r="J115" s="3">
        <v>163</v>
      </c>
      <c r="K115" s="3">
        <v>429162</v>
      </c>
      <c r="L115" s="3">
        <v>63156</v>
      </c>
      <c r="M115" s="3">
        <v>21926</v>
      </c>
      <c r="N115" s="3">
        <v>9198</v>
      </c>
      <c r="O115" s="3">
        <v>2216</v>
      </c>
      <c r="P115" s="3">
        <v>2763</v>
      </c>
      <c r="Q115" s="3">
        <v>34817</v>
      </c>
      <c r="R115" s="218">
        <v>1294260</v>
      </c>
    </row>
    <row r="116" spans="1:18" s="180" customFormat="1" x14ac:dyDescent="0.2">
      <c r="A116" s="358">
        <f t="shared" si="11"/>
        <v>1</v>
      </c>
      <c r="B116" s="217">
        <v>43191</v>
      </c>
      <c r="C116" s="3">
        <v>46302</v>
      </c>
      <c r="D116" s="3">
        <v>12054</v>
      </c>
      <c r="E116" s="3">
        <v>67963</v>
      </c>
      <c r="F116" s="3">
        <v>8698</v>
      </c>
      <c r="G116" s="3">
        <v>177031</v>
      </c>
      <c r="H116" s="3">
        <v>73217</v>
      </c>
      <c r="I116" s="3">
        <v>337958</v>
      </c>
      <c r="J116" s="3">
        <v>169</v>
      </c>
      <c r="K116" s="3">
        <v>423241</v>
      </c>
      <c r="L116" s="3">
        <v>59499</v>
      </c>
      <c r="M116" s="3">
        <v>21947</v>
      </c>
      <c r="N116" s="3">
        <v>9967</v>
      </c>
      <c r="O116" s="3">
        <v>2316</v>
      </c>
      <c r="P116" s="3">
        <v>2823</v>
      </c>
      <c r="Q116" s="3">
        <v>34553</v>
      </c>
      <c r="R116" s="218">
        <v>1277738</v>
      </c>
    </row>
    <row r="117" spans="1:18" s="180" customFormat="1" x14ac:dyDescent="0.2">
      <c r="A117" s="358">
        <f t="shared" si="11"/>
        <v>0</v>
      </c>
      <c r="B117" s="217">
        <v>43221</v>
      </c>
      <c r="C117" s="3"/>
      <c r="D117" s="3"/>
      <c r="E117" s="3"/>
      <c r="F117" s="3"/>
      <c r="G117" s="3"/>
      <c r="H117" s="3"/>
      <c r="I117" s="3"/>
      <c r="J117" s="3"/>
      <c r="K117" s="3"/>
      <c r="L117" s="3"/>
      <c r="M117" s="3"/>
      <c r="N117" s="3"/>
      <c r="O117" s="3"/>
      <c r="P117" s="3"/>
      <c r="Q117" s="3"/>
      <c r="R117" s="218"/>
    </row>
    <row r="118" spans="1:18" s="180" customFormat="1" x14ac:dyDescent="0.2">
      <c r="A118" s="358">
        <f t="shared" si="11"/>
        <v>0</v>
      </c>
      <c r="B118" s="217">
        <v>43252</v>
      </c>
      <c r="C118" s="3"/>
      <c r="D118" s="3"/>
      <c r="E118" s="3"/>
      <c r="F118" s="3"/>
      <c r="G118" s="3"/>
      <c r="H118" s="3"/>
      <c r="I118" s="3"/>
      <c r="J118" s="3"/>
      <c r="K118" s="3"/>
      <c r="L118" s="3"/>
      <c r="M118" s="3"/>
      <c r="N118" s="3"/>
      <c r="O118" s="3"/>
      <c r="P118" s="3"/>
      <c r="Q118" s="3"/>
      <c r="R118" s="218"/>
    </row>
    <row r="119" spans="1:18" s="180" customFormat="1" x14ac:dyDescent="0.2">
      <c r="A119" s="358"/>
      <c r="B119" s="217"/>
      <c r="C119" s="3"/>
      <c r="D119" s="3"/>
      <c r="E119" s="3"/>
      <c r="F119" s="3"/>
      <c r="G119" s="3"/>
      <c r="H119" s="3"/>
      <c r="I119" s="3"/>
      <c r="J119" s="3"/>
      <c r="K119" s="3"/>
      <c r="L119" s="3"/>
      <c r="M119" s="3"/>
      <c r="N119" s="3"/>
      <c r="O119" s="3"/>
      <c r="P119" s="3"/>
      <c r="Q119" s="3"/>
      <c r="R119" s="218"/>
    </row>
    <row r="120" spans="1:18" s="180" customFormat="1" x14ac:dyDescent="0.25">
      <c r="B120" s="225" t="s">
        <v>361</v>
      </c>
      <c r="C120" s="5">
        <v>45736</v>
      </c>
      <c r="D120" s="5">
        <v>11702</v>
      </c>
      <c r="E120" s="5">
        <v>67309</v>
      </c>
      <c r="F120" s="5">
        <v>8057</v>
      </c>
      <c r="G120" s="5">
        <v>179871</v>
      </c>
      <c r="H120" s="5">
        <v>75368</v>
      </c>
      <c r="I120" s="5">
        <v>355251</v>
      </c>
      <c r="J120" s="5">
        <v>152</v>
      </c>
      <c r="K120" s="5">
        <v>441539</v>
      </c>
      <c r="L120" s="5">
        <v>65259</v>
      </c>
      <c r="M120" s="5">
        <v>21343</v>
      </c>
      <c r="N120" s="5">
        <v>9911</v>
      </c>
      <c r="O120" s="5">
        <v>2193</v>
      </c>
      <c r="P120" s="5">
        <v>2795</v>
      </c>
      <c r="Q120" s="5">
        <v>34903</v>
      </c>
      <c r="R120" s="226">
        <v>1321389</v>
      </c>
    </row>
    <row r="121" spans="1:18" s="180" customFormat="1" ht="15.75" customHeight="1" x14ac:dyDescent="0.25">
      <c r="B121" s="225" t="s">
        <v>362</v>
      </c>
      <c r="C121" s="5">
        <v>45945</v>
      </c>
      <c r="D121" s="5">
        <v>11742</v>
      </c>
      <c r="E121" s="5">
        <v>67138</v>
      </c>
      <c r="F121" s="5">
        <v>8188</v>
      </c>
      <c r="G121" s="5">
        <v>181632</v>
      </c>
      <c r="H121" s="5">
        <v>77128</v>
      </c>
      <c r="I121" s="5">
        <v>361574</v>
      </c>
      <c r="J121" s="5">
        <v>142</v>
      </c>
      <c r="K121" s="5">
        <v>443986</v>
      </c>
      <c r="L121" s="5">
        <v>66666</v>
      </c>
      <c r="M121" s="5">
        <v>21429</v>
      </c>
      <c r="N121" s="5">
        <v>9706</v>
      </c>
      <c r="O121" s="5">
        <v>2158</v>
      </c>
      <c r="P121" s="5">
        <v>2856</v>
      </c>
      <c r="Q121" s="5">
        <v>35057</v>
      </c>
      <c r="R121" s="226">
        <v>1335347</v>
      </c>
    </row>
    <row r="122" spans="1:18" s="180" customFormat="1" x14ac:dyDescent="0.2">
      <c r="B122" s="227" t="s">
        <v>18</v>
      </c>
      <c r="C122" s="3">
        <v>264</v>
      </c>
      <c r="D122" s="3">
        <v>86</v>
      </c>
      <c r="E122" s="3">
        <v>88</v>
      </c>
      <c r="F122" s="3">
        <v>9</v>
      </c>
      <c r="G122" s="3">
        <v>562</v>
      </c>
      <c r="H122" s="3">
        <v>-1612</v>
      </c>
      <c r="I122" s="3">
        <v>-7033</v>
      </c>
      <c r="J122" s="3">
        <v>6</v>
      </c>
      <c r="K122" s="3">
        <v>-5921</v>
      </c>
      <c r="L122" s="3">
        <v>-3657</v>
      </c>
      <c r="M122" s="3">
        <v>21</v>
      </c>
      <c r="N122" s="3">
        <v>769</v>
      </c>
      <c r="O122" s="3">
        <v>100</v>
      </c>
      <c r="P122" s="3">
        <v>60</v>
      </c>
      <c r="Q122" s="3">
        <v>-264</v>
      </c>
      <c r="R122" s="509">
        <v>-16522</v>
      </c>
    </row>
    <row r="123" spans="1:18" s="180" customFormat="1" x14ac:dyDescent="0.2">
      <c r="B123" s="227" t="s">
        <v>21</v>
      </c>
      <c r="C123" s="6">
        <v>5.7343933272514013E-3</v>
      </c>
      <c r="D123" s="6">
        <v>7.1858288770053477E-3</v>
      </c>
      <c r="E123" s="6">
        <v>1.2965009208103131E-3</v>
      </c>
      <c r="F123" s="6">
        <v>1.0357923811715962E-3</v>
      </c>
      <c r="G123" s="6">
        <v>3.1846953289246271E-3</v>
      </c>
      <c r="H123" s="6">
        <v>-2.1542450119606035E-2</v>
      </c>
      <c r="I123" s="6">
        <v>-2.0386039056091317E-2</v>
      </c>
      <c r="J123" s="6">
        <v>3.6809815950920248E-2</v>
      </c>
      <c r="K123" s="6">
        <v>-1.3796654876247198E-2</v>
      </c>
      <c r="L123" s="6">
        <v>-5.7904237127113817E-2</v>
      </c>
      <c r="M123" s="6">
        <v>9.5776703457082916E-4</v>
      </c>
      <c r="N123" s="6">
        <v>8.3605131550337025E-2</v>
      </c>
      <c r="O123" s="6">
        <v>4.5126353790613721E-2</v>
      </c>
      <c r="P123" s="6">
        <v>2.1715526601520086E-2</v>
      </c>
      <c r="Q123" s="6">
        <v>-7.5825028003561482E-3</v>
      </c>
      <c r="R123" s="466">
        <v>-1.2765595784463709E-2</v>
      </c>
    </row>
    <row r="124" spans="1:18" s="180" customFormat="1" x14ac:dyDescent="0.2">
      <c r="B124" s="227" t="s">
        <v>35</v>
      </c>
      <c r="C124" s="3">
        <v>1665</v>
      </c>
      <c r="D124" s="3">
        <v>673</v>
      </c>
      <c r="E124" s="3">
        <v>596</v>
      </c>
      <c r="F124" s="3">
        <v>1680</v>
      </c>
      <c r="G124" s="3">
        <v>2946</v>
      </c>
      <c r="H124" s="3">
        <v>-68443</v>
      </c>
      <c r="I124" s="3">
        <v>28761</v>
      </c>
      <c r="J124" s="3">
        <v>-110</v>
      </c>
      <c r="K124" s="3">
        <v>-43270</v>
      </c>
      <c r="L124" s="3">
        <v>-8009</v>
      </c>
      <c r="M124" s="3">
        <v>1514</v>
      </c>
      <c r="N124" s="3">
        <v>-2819</v>
      </c>
      <c r="O124" s="3">
        <v>-5</v>
      </c>
      <c r="P124" s="3">
        <v>-45</v>
      </c>
      <c r="Q124" s="3">
        <v>146</v>
      </c>
      <c r="R124" s="509">
        <v>-84720</v>
      </c>
    </row>
    <row r="125" spans="1:18" s="180" customFormat="1" ht="16.5" thickBot="1" x14ac:dyDescent="0.25">
      <c r="B125" s="227" t="s">
        <v>36</v>
      </c>
      <c r="C125" s="6">
        <v>3.7300893877276697E-2</v>
      </c>
      <c r="D125" s="6">
        <v>5.913364379228539E-2</v>
      </c>
      <c r="E125" s="6">
        <v>8.847061617705999E-3</v>
      </c>
      <c r="F125" s="6">
        <v>0.23938444001139925</v>
      </c>
      <c r="G125" s="6">
        <v>1.6922767613522131E-2</v>
      </c>
      <c r="H125" s="6">
        <v>-0.48314979528448398</v>
      </c>
      <c r="I125" s="6">
        <v>9.3018366931115121E-2</v>
      </c>
      <c r="J125" s="6">
        <v>-0.3942652329749104</v>
      </c>
      <c r="K125" s="6">
        <v>-9.2752368111362865E-2</v>
      </c>
      <c r="L125" s="6">
        <v>-0.11863779107661314</v>
      </c>
      <c r="M125" s="6">
        <v>7.4095825380511918E-2</v>
      </c>
      <c r="N125" s="6">
        <v>-0.22047552010010948</v>
      </c>
      <c r="O125" s="6">
        <v>-2.1542438604049978E-3</v>
      </c>
      <c r="P125" s="6">
        <v>-1.5690376569037656E-2</v>
      </c>
      <c r="Q125" s="6">
        <v>4.2433225797076177E-3</v>
      </c>
      <c r="R125" s="466">
        <v>-6.2181733308476296E-2</v>
      </c>
    </row>
    <row r="126" spans="1:18" s="180" customFormat="1" ht="19.5" hidden="1" thickBot="1" x14ac:dyDescent="0.25">
      <c r="B126" s="279" t="s">
        <v>284</v>
      </c>
      <c r="C126" s="5"/>
      <c r="D126" s="5"/>
      <c r="E126" s="5"/>
      <c r="F126" s="5"/>
      <c r="G126" s="280"/>
      <c r="H126" s="280"/>
      <c r="I126" s="5"/>
      <c r="J126" s="5"/>
      <c r="K126" s="5"/>
      <c r="L126" s="5"/>
      <c r="M126" s="5"/>
      <c r="N126" s="5"/>
      <c r="O126" s="5"/>
      <c r="P126" s="5"/>
      <c r="Q126" s="5"/>
      <c r="R126" s="226"/>
    </row>
    <row r="127" spans="1:18" s="180" customFormat="1" ht="16.5" hidden="1" thickBot="1" x14ac:dyDescent="0.25">
      <c r="B127" s="279" t="s">
        <v>26</v>
      </c>
      <c r="C127" s="5"/>
      <c r="D127" s="5"/>
      <c r="E127" s="5"/>
      <c r="F127" s="5"/>
      <c r="G127" s="5"/>
      <c r="H127" s="5"/>
      <c r="I127" s="5"/>
      <c r="J127" s="5"/>
      <c r="K127" s="5"/>
      <c r="L127" s="5"/>
      <c r="M127" s="5"/>
      <c r="N127" s="5"/>
      <c r="O127" s="5"/>
      <c r="P127" s="5"/>
      <c r="Q127" s="5"/>
      <c r="R127" s="226"/>
    </row>
    <row r="128" spans="1:18" s="180" customFormat="1" ht="16.5" hidden="1" thickBot="1" x14ac:dyDescent="0.25">
      <c r="B128" s="379" t="s">
        <v>98</v>
      </c>
      <c r="C128" s="5"/>
      <c r="D128" s="5"/>
      <c r="E128" s="5"/>
      <c r="F128" s="5"/>
      <c r="G128" s="280"/>
      <c r="H128" s="280"/>
      <c r="I128" s="5"/>
      <c r="J128" s="5"/>
      <c r="K128" s="5"/>
      <c r="L128" s="5"/>
      <c r="M128" s="5"/>
      <c r="N128" s="5"/>
      <c r="O128" s="5"/>
      <c r="P128" s="5"/>
      <c r="Q128" s="5"/>
      <c r="R128" s="226"/>
    </row>
    <row r="129" spans="2:19" s="180" customFormat="1" ht="16.5" hidden="1" thickBot="1" x14ac:dyDescent="0.25">
      <c r="B129" s="380" t="s">
        <v>27</v>
      </c>
      <c r="C129" s="281"/>
      <c r="D129" s="281"/>
      <c r="E129" s="281"/>
      <c r="F129" s="281"/>
      <c r="G129" s="282"/>
      <c r="H129" s="282"/>
      <c r="I129" s="281"/>
      <c r="J129" s="281"/>
      <c r="K129" s="281"/>
      <c r="L129" s="281"/>
      <c r="M129" s="281"/>
      <c r="N129" s="281"/>
      <c r="O129" s="281"/>
      <c r="P129" s="281"/>
      <c r="Q129" s="281"/>
      <c r="R129" s="467"/>
    </row>
    <row r="130" spans="2:19" s="180" customFormat="1" ht="16.5" hidden="1" thickBot="1" x14ac:dyDescent="0.25">
      <c r="B130" s="279"/>
      <c r="C130" s="5"/>
      <c r="D130" s="5"/>
      <c r="E130" s="5"/>
      <c r="F130" s="5"/>
      <c r="G130" s="5"/>
      <c r="H130" s="5"/>
      <c r="I130" s="5"/>
      <c r="J130" s="5"/>
      <c r="K130" s="5"/>
      <c r="L130" s="5"/>
      <c r="M130" s="5"/>
      <c r="N130" s="5"/>
      <c r="O130" s="5"/>
      <c r="P130" s="5"/>
      <c r="Q130" s="5"/>
      <c r="R130" s="226"/>
    </row>
    <row r="131" spans="2:19" s="178" customFormat="1" x14ac:dyDescent="0.2">
      <c r="B131" s="673" t="s">
        <v>24</v>
      </c>
      <c r="C131" s="674"/>
      <c r="D131" s="674"/>
      <c r="E131" s="674"/>
      <c r="F131" s="674"/>
      <c r="G131" s="674"/>
      <c r="H131" s="674"/>
      <c r="I131" s="674"/>
      <c r="J131" s="674"/>
      <c r="K131" s="674"/>
      <c r="L131" s="674"/>
      <c r="M131" s="674"/>
      <c r="N131" s="674"/>
      <c r="O131" s="674"/>
      <c r="P131" s="674"/>
      <c r="Q131" s="674"/>
      <c r="R131" s="675"/>
    </row>
    <row r="132" spans="2:19" s="178" customFormat="1" x14ac:dyDescent="0.2">
      <c r="B132" s="676" t="s">
        <v>318</v>
      </c>
      <c r="C132" s="677"/>
      <c r="D132" s="677"/>
      <c r="E132" s="677"/>
      <c r="F132" s="677"/>
      <c r="G132" s="677"/>
      <c r="H132" s="677"/>
      <c r="I132" s="677"/>
      <c r="J132" s="677"/>
      <c r="K132" s="677"/>
      <c r="L132" s="677"/>
      <c r="M132" s="677"/>
      <c r="N132" s="677"/>
      <c r="O132" s="677"/>
      <c r="P132" s="677"/>
      <c r="Q132" s="677"/>
      <c r="R132" s="678"/>
    </row>
    <row r="133" spans="2:19" s="178" customFormat="1" x14ac:dyDescent="0.2">
      <c r="B133" s="679" t="s">
        <v>411</v>
      </c>
      <c r="C133" s="680"/>
      <c r="D133" s="680"/>
      <c r="E133" s="680"/>
      <c r="F133" s="680"/>
      <c r="G133" s="680"/>
      <c r="H133" s="680"/>
      <c r="I133" s="680"/>
      <c r="J133" s="680"/>
      <c r="K133" s="680"/>
      <c r="L133" s="680"/>
      <c r="M133" s="680"/>
      <c r="N133" s="680"/>
      <c r="O133" s="680"/>
      <c r="P133" s="680"/>
      <c r="Q133" s="680"/>
      <c r="R133" s="681"/>
    </row>
    <row r="134" spans="2:19" s="178" customFormat="1" ht="26.25" customHeight="1" x14ac:dyDescent="0.2">
      <c r="B134" s="679" t="s">
        <v>404</v>
      </c>
      <c r="C134" s="680"/>
      <c r="D134" s="680"/>
      <c r="E134" s="680"/>
      <c r="F134" s="680"/>
      <c r="G134" s="680"/>
      <c r="H134" s="680"/>
      <c r="I134" s="680"/>
      <c r="J134" s="680"/>
      <c r="K134" s="680"/>
      <c r="L134" s="680"/>
      <c r="M134" s="680"/>
      <c r="N134" s="680"/>
      <c r="O134" s="680"/>
      <c r="P134" s="680"/>
      <c r="Q134" s="680"/>
      <c r="R134" s="681"/>
    </row>
    <row r="135" spans="2:19" s="178" customFormat="1" ht="16.5" customHeight="1" x14ac:dyDescent="0.2">
      <c r="B135" s="679" t="s">
        <v>379</v>
      </c>
      <c r="C135" s="680"/>
      <c r="D135" s="680"/>
      <c r="E135" s="680"/>
      <c r="F135" s="680"/>
      <c r="G135" s="680"/>
      <c r="H135" s="680"/>
      <c r="I135" s="680"/>
      <c r="J135" s="680"/>
      <c r="K135" s="680"/>
      <c r="L135" s="680"/>
      <c r="M135" s="680"/>
      <c r="N135" s="680"/>
      <c r="O135" s="680"/>
      <c r="P135" s="680"/>
      <c r="Q135" s="680"/>
      <c r="R135" s="681"/>
    </row>
    <row r="136" spans="2:19" ht="32.25" thickBot="1" x14ac:dyDescent="0.25">
      <c r="B136" s="682" t="s">
        <v>399</v>
      </c>
      <c r="C136" s="683"/>
      <c r="D136" s="683"/>
      <c r="E136" s="683"/>
      <c r="F136" s="683"/>
      <c r="G136" s="683"/>
      <c r="H136" s="683"/>
      <c r="I136" s="683"/>
      <c r="J136" s="683"/>
      <c r="K136" s="683"/>
      <c r="L136" s="683"/>
      <c r="M136" s="683"/>
      <c r="N136" s="683"/>
      <c r="O136" s="683"/>
      <c r="P136" s="683"/>
      <c r="Q136" s="683"/>
      <c r="R136" s="684"/>
      <c r="S136" s="635" t="s">
        <v>338</v>
      </c>
    </row>
    <row r="137" spans="2:19" ht="15.75" customHeight="1" x14ac:dyDescent="0.2"/>
    <row r="138" spans="2:19" ht="16.5" customHeight="1" x14ac:dyDescent="0.2"/>
    <row r="139" spans="2:19" ht="15.75" customHeight="1" x14ac:dyDescent="0.2"/>
    <row r="140" spans="2:19" ht="15.75" customHeight="1" x14ac:dyDescent="0.2"/>
    <row r="141" spans="2:19" ht="16.5" customHeight="1" x14ac:dyDescent="0.2"/>
    <row r="173" spans="3:11" x14ac:dyDescent="0.25">
      <c r="G173" s="309"/>
    </row>
    <row r="175" spans="3:11" x14ac:dyDescent="0.2">
      <c r="C175" s="487"/>
      <c r="D175" s="487"/>
      <c r="E175" s="487"/>
      <c r="F175" s="487"/>
      <c r="G175" s="487"/>
      <c r="H175" s="487"/>
      <c r="I175" s="487"/>
      <c r="J175" s="487"/>
      <c r="K175" s="487"/>
    </row>
  </sheetData>
  <mergeCells count="7">
    <mergeCell ref="B1:R1"/>
    <mergeCell ref="B131:R131"/>
    <mergeCell ref="B132:R132"/>
    <mergeCell ref="B135:R135"/>
    <mergeCell ref="B136:R136"/>
    <mergeCell ref="B133:R133"/>
    <mergeCell ref="B134:R134"/>
  </mergeCells>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X136"/>
  <sheetViews>
    <sheetView view="pageBreakPreview" topLeftCell="A53" zoomScale="55" zoomScaleNormal="100" zoomScaleSheetLayoutView="55" workbookViewId="0">
      <selection activeCell="D130" sqref="D130"/>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20" ht="19.5" thickBot="1" x14ac:dyDescent="0.25">
      <c r="A1" s="695" t="s">
        <v>290</v>
      </c>
      <c r="B1" s="696"/>
      <c r="C1" s="696"/>
      <c r="D1" s="696"/>
      <c r="E1" s="696"/>
      <c r="F1" s="696"/>
      <c r="G1" s="696"/>
      <c r="H1" s="696"/>
      <c r="I1" s="696"/>
      <c r="J1" s="696"/>
      <c r="K1" s="696"/>
      <c r="L1" s="696"/>
      <c r="M1" s="696"/>
      <c r="N1" s="696"/>
      <c r="O1" s="696"/>
      <c r="P1" s="696"/>
      <c r="Q1" s="697"/>
      <c r="R1" s="54"/>
    </row>
    <row r="2" spans="1:20" ht="79.5" thickBot="1" x14ac:dyDescent="0.25">
      <c r="A2" s="270"/>
      <c r="B2" s="271" t="s">
        <v>150</v>
      </c>
      <c r="C2" s="271" t="s">
        <v>151</v>
      </c>
      <c r="D2" s="271" t="s">
        <v>152</v>
      </c>
      <c r="E2" s="271" t="s">
        <v>103</v>
      </c>
      <c r="F2" s="271" t="s">
        <v>153</v>
      </c>
      <c r="G2" s="271" t="s">
        <v>154</v>
      </c>
      <c r="H2" s="271" t="s">
        <v>155</v>
      </c>
      <c r="I2" s="271" t="s">
        <v>19</v>
      </c>
      <c r="J2" s="271" t="s">
        <v>160</v>
      </c>
      <c r="K2" s="271" t="s">
        <v>156</v>
      </c>
      <c r="L2" s="271" t="s">
        <v>20</v>
      </c>
      <c r="M2" s="271" t="s">
        <v>157</v>
      </c>
      <c r="N2" s="271" t="s">
        <v>158</v>
      </c>
      <c r="O2" s="271" t="s">
        <v>159</v>
      </c>
      <c r="P2" s="271" t="s">
        <v>32</v>
      </c>
      <c r="Q2" s="272" t="s">
        <v>0</v>
      </c>
      <c r="R2" s="323"/>
    </row>
    <row r="3" spans="1:20" ht="19.5" thickBot="1" x14ac:dyDescent="0.25">
      <c r="A3" s="382" t="s">
        <v>291</v>
      </c>
      <c r="B3" s="383"/>
      <c r="C3" s="383"/>
      <c r="D3" s="383"/>
      <c r="E3" s="383"/>
      <c r="F3" s="383"/>
      <c r="G3" s="383"/>
      <c r="H3" s="383"/>
      <c r="I3" s="383"/>
      <c r="J3" s="383"/>
      <c r="K3" s="383"/>
      <c r="L3" s="383"/>
      <c r="M3" s="383"/>
      <c r="N3" s="383"/>
      <c r="O3" s="383"/>
      <c r="P3" s="383"/>
      <c r="Q3" s="384"/>
      <c r="R3" s="323"/>
    </row>
    <row r="4" spans="1:20" ht="15.75" x14ac:dyDescent="0.2">
      <c r="A4" s="223">
        <v>42917</v>
      </c>
      <c r="B4" s="212">
        <v>38343</v>
      </c>
      <c r="C4" s="212">
        <v>9664</v>
      </c>
      <c r="D4" s="212">
        <v>59971</v>
      </c>
      <c r="E4" s="212">
        <v>6687</v>
      </c>
      <c r="F4" s="212">
        <v>160814</v>
      </c>
      <c r="G4" s="212">
        <v>73128</v>
      </c>
      <c r="H4" s="212">
        <v>328717</v>
      </c>
      <c r="I4" s="212">
        <v>141</v>
      </c>
      <c r="J4" s="212">
        <v>422019</v>
      </c>
      <c r="K4" s="212">
        <v>60713</v>
      </c>
      <c r="L4" s="212">
        <v>20424</v>
      </c>
      <c r="M4" s="212">
        <v>10400</v>
      </c>
      <c r="N4" s="212">
        <v>1956</v>
      </c>
      <c r="O4" s="212">
        <v>2925</v>
      </c>
      <c r="P4" s="212">
        <v>34833</v>
      </c>
      <c r="Q4" s="224">
        <v>1230735</v>
      </c>
      <c r="R4" s="56"/>
    </row>
    <row r="5" spans="1:20" ht="15.75" x14ac:dyDescent="0.2">
      <c r="A5" s="217">
        <v>42948</v>
      </c>
      <c r="B5" s="3">
        <v>38664</v>
      </c>
      <c r="C5" s="3">
        <v>9715</v>
      </c>
      <c r="D5" s="3">
        <v>60058</v>
      </c>
      <c r="E5" s="3">
        <v>6762</v>
      </c>
      <c r="F5" s="3">
        <v>161357</v>
      </c>
      <c r="G5" s="3">
        <v>73476</v>
      </c>
      <c r="H5" s="3">
        <v>331468</v>
      </c>
      <c r="I5" s="3">
        <v>137</v>
      </c>
      <c r="J5" s="3">
        <v>421764</v>
      </c>
      <c r="K5" s="3">
        <v>61466</v>
      </c>
      <c r="L5" s="3">
        <v>20579</v>
      </c>
      <c r="M5" s="3">
        <v>9937</v>
      </c>
      <c r="N5" s="3">
        <v>1919</v>
      </c>
      <c r="O5" s="3">
        <v>2957</v>
      </c>
      <c r="P5" s="3">
        <v>35078</v>
      </c>
      <c r="Q5" s="218">
        <v>1235337</v>
      </c>
      <c r="R5" s="56"/>
    </row>
    <row r="6" spans="1:20" ht="15.75" x14ac:dyDescent="0.2">
      <c r="A6" s="217">
        <v>42979</v>
      </c>
      <c r="B6" s="3">
        <v>38896</v>
      </c>
      <c r="C6" s="3">
        <v>9738</v>
      </c>
      <c r="D6" s="3">
        <v>59964</v>
      </c>
      <c r="E6" s="3">
        <v>6855</v>
      </c>
      <c r="F6" s="3">
        <v>160827</v>
      </c>
      <c r="G6" s="3">
        <v>72743</v>
      </c>
      <c r="H6" s="3">
        <v>332209</v>
      </c>
      <c r="I6" s="3">
        <v>125</v>
      </c>
      <c r="J6" s="3">
        <v>417281</v>
      </c>
      <c r="K6" s="3">
        <v>62031</v>
      </c>
      <c r="L6" s="3">
        <v>20717</v>
      </c>
      <c r="M6" s="3">
        <v>9224</v>
      </c>
      <c r="N6" s="3">
        <v>1917</v>
      </c>
      <c r="O6" s="3">
        <v>2831</v>
      </c>
      <c r="P6" s="3">
        <v>35157</v>
      </c>
      <c r="Q6" s="218">
        <v>1230515</v>
      </c>
      <c r="R6" s="56"/>
    </row>
    <row r="7" spans="1:20" ht="15.75" x14ac:dyDescent="0.2">
      <c r="A7" s="217">
        <v>43009</v>
      </c>
      <c r="B7" s="3">
        <v>38444</v>
      </c>
      <c r="C7" s="3">
        <v>9702</v>
      </c>
      <c r="D7" s="3">
        <v>59650</v>
      </c>
      <c r="E7" s="3">
        <v>7137</v>
      </c>
      <c r="F7" s="3">
        <v>159024</v>
      </c>
      <c r="G7" s="3">
        <v>65760</v>
      </c>
      <c r="H7" s="3">
        <v>309936</v>
      </c>
      <c r="I7" s="3">
        <v>131</v>
      </c>
      <c r="J7" s="3">
        <v>410504</v>
      </c>
      <c r="K7" s="3">
        <v>62415</v>
      </c>
      <c r="L7" s="3">
        <v>20858</v>
      </c>
      <c r="M7" s="3">
        <v>8881</v>
      </c>
      <c r="N7" s="3">
        <v>1979</v>
      </c>
      <c r="O7" s="3">
        <v>2842</v>
      </c>
      <c r="P7" s="3">
        <v>34883</v>
      </c>
      <c r="Q7" s="218">
        <v>1192146</v>
      </c>
      <c r="R7" s="56"/>
    </row>
    <row r="8" spans="1:20" ht="15.75" x14ac:dyDescent="0.2">
      <c r="A8" s="217">
        <v>43040</v>
      </c>
      <c r="B8" s="3">
        <v>38599</v>
      </c>
      <c r="C8" s="3">
        <v>9772</v>
      </c>
      <c r="D8" s="3">
        <v>59798</v>
      </c>
      <c r="E8" s="3">
        <v>7335</v>
      </c>
      <c r="F8" s="3">
        <v>159542</v>
      </c>
      <c r="G8" s="3">
        <v>63672</v>
      </c>
      <c r="H8" s="3">
        <v>310166</v>
      </c>
      <c r="I8" s="3">
        <v>141</v>
      </c>
      <c r="J8" s="3">
        <v>407881</v>
      </c>
      <c r="K8" s="3">
        <v>62281</v>
      </c>
      <c r="L8" s="3">
        <v>21090</v>
      </c>
      <c r="M8" s="3">
        <v>8603</v>
      </c>
      <c r="N8" s="3">
        <v>2033</v>
      </c>
      <c r="O8" s="3">
        <v>2716</v>
      </c>
      <c r="P8" s="3">
        <v>34999</v>
      </c>
      <c r="Q8" s="218">
        <v>1188628</v>
      </c>
      <c r="R8" s="56"/>
    </row>
    <row r="9" spans="1:20" ht="15.75" x14ac:dyDescent="0.2">
      <c r="A9" s="217">
        <v>43070</v>
      </c>
      <c r="B9" s="3">
        <v>38728</v>
      </c>
      <c r="C9" s="3">
        <v>9838</v>
      </c>
      <c r="D9" s="3">
        <v>59706</v>
      </c>
      <c r="E9" s="3">
        <v>7505</v>
      </c>
      <c r="F9" s="3">
        <v>159530</v>
      </c>
      <c r="G9" s="3">
        <v>64978</v>
      </c>
      <c r="H9" s="3">
        <v>315012</v>
      </c>
      <c r="I9" s="3">
        <v>143</v>
      </c>
      <c r="J9" s="3">
        <v>405642</v>
      </c>
      <c r="K9" s="3">
        <v>61893</v>
      </c>
      <c r="L9" s="3">
        <v>21273</v>
      </c>
      <c r="M9" s="3">
        <v>8128</v>
      </c>
      <c r="N9" s="3">
        <v>1952</v>
      </c>
      <c r="O9" s="3">
        <v>2677</v>
      </c>
      <c r="P9" s="3">
        <v>35001</v>
      </c>
      <c r="Q9" s="218">
        <v>1192006</v>
      </c>
      <c r="R9" s="56"/>
    </row>
    <row r="10" spans="1:20" ht="15.75" x14ac:dyDescent="0.2">
      <c r="A10" s="217">
        <v>43101</v>
      </c>
      <c r="B10" s="3">
        <v>38783</v>
      </c>
      <c r="C10" s="3">
        <v>9921</v>
      </c>
      <c r="D10" s="3">
        <v>59969</v>
      </c>
      <c r="E10" s="3">
        <v>7721</v>
      </c>
      <c r="F10" s="3">
        <v>160073</v>
      </c>
      <c r="G10" s="3">
        <v>62231</v>
      </c>
      <c r="H10" s="3">
        <v>305671</v>
      </c>
      <c r="I10" s="3">
        <v>148</v>
      </c>
      <c r="J10" s="3">
        <v>404143</v>
      </c>
      <c r="K10" s="3">
        <v>61800</v>
      </c>
      <c r="L10" s="3">
        <v>21368</v>
      </c>
      <c r="M10" s="3">
        <v>8256</v>
      </c>
      <c r="N10" s="3">
        <v>2007</v>
      </c>
      <c r="O10" s="3">
        <v>2704</v>
      </c>
      <c r="P10" s="3">
        <v>34842</v>
      </c>
      <c r="Q10" s="218">
        <v>1179637</v>
      </c>
      <c r="R10" s="56"/>
    </row>
    <row r="11" spans="1:20" ht="15.75" x14ac:dyDescent="0.2">
      <c r="A11" s="217">
        <v>43132</v>
      </c>
      <c r="B11" s="3">
        <v>38875</v>
      </c>
      <c r="C11" s="3">
        <v>9945</v>
      </c>
      <c r="D11" s="3">
        <v>60249</v>
      </c>
      <c r="E11" s="3">
        <v>7916</v>
      </c>
      <c r="F11" s="3">
        <v>160337</v>
      </c>
      <c r="G11" s="3">
        <v>62435</v>
      </c>
      <c r="H11" s="3">
        <v>304204</v>
      </c>
      <c r="I11" s="3">
        <v>154</v>
      </c>
      <c r="J11" s="3">
        <v>400732</v>
      </c>
      <c r="K11" s="3">
        <v>60115</v>
      </c>
      <c r="L11" s="3">
        <v>21493</v>
      </c>
      <c r="M11" s="3">
        <v>8100</v>
      </c>
      <c r="N11" s="3">
        <v>2029</v>
      </c>
      <c r="O11" s="3">
        <v>2707</v>
      </c>
      <c r="P11" s="3">
        <v>34868</v>
      </c>
      <c r="Q11" s="218">
        <v>1174159</v>
      </c>
      <c r="R11" s="56"/>
    </row>
    <row r="12" spans="1:20" ht="15.75" x14ac:dyDescent="0.2">
      <c r="A12" s="217">
        <v>43160</v>
      </c>
      <c r="B12" s="3">
        <v>38858</v>
      </c>
      <c r="C12" s="3">
        <v>10045</v>
      </c>
      <c r="D12" s="3">
        <v>60418</v>
      </c>
      <c r="E12" s="3">
        <v>7927</v>
      </c>
      <c r="F12" s="3">
        <v>156392</v>
      </c>
      <c r="G12" s="3">
        <v>66402</v>
      </c>
      <c r="H12" s="3">
        <v>302769</v>
      </c>
      <c r="I12" s="3">
        <v>152</v>
      </c>
      <c r="J12" s="3">
        <v>396369</v>
      </c>
      <c r="K12" s="3">
        <v>58751</v>
      </c>
      <c r="L12" s="3">
        <v>21712</v>
      </c>
      <c r="M12" s="3">
        <v>8173</v>
      </c>
      <c r="N12" s="3">
        <v>2022</v>
      </c>
      <c r="O12" s="3">
        <v>2763</v>
      </c>
      <c r="P12" s="3">
        <v>34817</v>
      </c>
      <c r="Q12" s="218">
        <v>1167570</v>
      </c>
      <c r="R12" s="56"/>
    </row>
    <row r="13" spans="1:20" ht="15.75" x14ac:dyDescent="0.2">
      <c r="A13" s="217">
        <v>43191</v>
      </c>
      <c r="B13" s="3">
        <v>39160</v>
      </c>
      <c r="C13" s="3">
        <v>10122</v>
      </c>
      <c r="D13" s="3">
        <v>60618</v>
      </c>
      <c r="E13" s="3">
        <v>7938</v>
      </c>
      <c r="F13" s="3">
        <v>157174</v>
      </c>
      <c r="G13" s="3">
        <v>65216</v>
      </c>
      <c r="H13" s="3">
        <v>297296</v>
      </c>
      <c r="I13" s="3">
        <v>159</v>
      </c>
      <c r="J13" s="3">
        <v>391654</v>
      </c>
      <c r="K13" s="3">
        <v>55626</v>
      </c>
      <c r="L13" s="3">
        <v>21744</v>
      </c>
      <c r="M13" s="3">
        <v>8889</v>
      </c>
      <c r="N13" s="3">
        <v>2135</v>
      </c>
      <c r="O13" s="3">
        <v>2823</v>
      </c>
      <c r="P13" s="3">
        <v>34553</v>
      </c>
      <c r="Q13" s="218">
        <v>1155107</v>
      </c>
      <c r="R13" s="56"/>
    </row>
    <row r="14" spans="1:20" ht="15.75" x14ac:dyDescent="0.2">
      <c r="A14" s="217">
        <v>43221</v>
      </c>
      <c r="B14" s="3"/>
      <c r="C14" s="3"/>
      <c r="D14" s="3"/>
      <c r="E14" s="3"/>
      <c r="F14" s="3"/>
      <c r="G14" s="3"/>
      <c r="H14" s="3"/>
      <c r="I14" s="3"/>
      <c r="J14" s="3"/>
      <c r="K14" s="3"/>
      <c r="L14" s="3"/>
      <c r="M14" s="3"/>
      <c r="N14" s="3"/>
      <c r="O14" s="3"/>
      <c r="P14" s="3"/>
      <c r="Q14" s="218"/>
      <c r="R14" s="56"/>
    </row>
    <row r="15" spans="1:20" ht="16.5" thickBot="1" x14ac:dyDescent="0.25">
      <c r="A15" s="273">
        <v>43252</v>
      </c>
      <c r="B15" s="274"/>
      <c r="C15" s="274"/>
      <c r="D15" s="274"/>
      <c r="E15" s="274"/>
      <c r="F15" s="274"/>
      <c r="G15" s="274"/>
      <c r="H15" s="274"/>
      <c r="I15" s="274"/>
      <c r="J15" s="274"/>
      <c r="K15" s="274"/>
      <c r="L15" s="274"/>
      <c r="M15" s="274"/>
      <c r="N15" s="274"/>
      <c r="O15" s="274"/>
      <c r="P15" s="274"/>
      <c r="Q15" s="275"/>
      <c r="R15" s="56"/>
      <c r="T15" s="278"/>
    </row>
    <row r="16" spans="1:20" ht="17.25" thickTop="1" thickBot="1" x14ac:dyDescent="0.3">
      <c r="A16" s="225" t="s">
        <v>361</v>
      </c>
      <c r="B16" s="5">
        <v>38735</v>
      </c>
      <c r="C16" s="5">
        <v>9846</v>
      </c>
      <c r="D16" s="5">
        <v>60040</v>
      </c>
      <c r="E16" s="5">
        <v>7378</v>
      </c>
      <c r="F16" s="5">
        <v>159507</v>
      </c>
      <c r="G16" s="5">
        <v>67004</v>
      </c>
      <c r="H16" s="5">
        <v>313745</v>
      </c>
      <c r="I16" s="5">
        <v>143</v>
      </c>
      <c r="J16" s="5">
        <v>407799</v>
      </c>
      <c r="K16" s="5">
        <v>60709</v>
      </c>
      <c r="L16" s="5">
        <v>21126</v>
      </c>
      <c r="M16" s="5">
        <v>8859</v>
      </c>
      <c r="N16" s="5">
        <v>1995</v>
      </c>
      <c r="O16" s="5">
        <v>2795</v>
      </c>
      <c r="P16" s="5">
        <v>34903</v>
      </c>
      <c r="Q16" s="226">
        <v>1194584</v>
      </c>
      <c r="R16" s="56"/>
      <c r="S16" s="5"/>
      <c r="T16" s="322"/>
    </row>
    <row r="17" spans="1:21" ht="19.5" thickBot="1" x14ac:dyDescent="0.25">
      <c r="A17" s="382" t="s">
        <v>292</v>
      </c>
      <c r="B17" s="383"/>
      <c r="C17" s="383"/>
      <c r="D17" s="383"/>
      <c r="E17" s="383"/>
      <c r="F17" s="383"/>
      <c r="G17" s="383"/>
      <c r="H17" s="383"/>
      <c r="I17" s="383"/>
      <c r="J17" s="383"/>
      <c r="K17" s="383"/>
      <c r="L17" s="383"/>
      <c r="M17" s="383"/>
      <c r="N17" s="383"/>
      <c r="O17" s="383"/>
      <c r="P17" s="383"/>
      <c r="Q17" s="384"/>
      <c r="R17" s="324"/>
    </row>
    <row r="18" spans="1:21" ht="15.75" x14ac:dyDescent="0.2">
      <c r="A18" s="223">
        <f>A4</f>
        <v>42917</v>
      </c>
      <c r="B18" s="212">
        <v>6553</v>
      </c>
      <c r="C18" s="212">
        <v>1746</v>
      </c>
      <c r="D18" s="212">
        <v>7038</v>
      </c>
      <c r="E18" s="212">
        <v>587</v>
      </c>
      <c r="F18" s="212">
        <v>20826</v>
      </c>
      <c r="G18" s="212">
        <v>9201</v>
      </c>
      <c r="H18" s="212">
        <v>41957</v>
      </c>
      <c r="I18" s="212">
        <v>9</v>
      </c>
      <c r="J18" s="212">
        <v>35761</v>
      </c>
      <c r="K18" s="212">
        <v>4754</v>
      </c>
      <c r="L18" s="212">
        <v>227</v>
      </c>
      <c r="M18" s="212">
        <v>1145</v>
      </c>
      <c r="N18" s="212">
        <v>221</v>
      </c>
      <c r="O18" s="212">
        <v>0</v>
      </c>
      <c r="P18" s="212">
        <v>0</v>
      </c>
      <c r="Q18" s="224">
        <v>130025</v>
      </c>
      <c r="R18" s="56"/>
    </row>
    <row r="19" spans="1:21" ht="15.75" x14ac:dyDescent="0.2">
      <c r="A19" s="217">
        <f t="shared" ref="A19:A30" si="0">A5</f>
        <v>42948</v>
      </c>
      <c r="B19" s="3">
        <v>6569</v>
      </c>
      <c r="C19" s="3">
        <v>1771</v>
      </c>
      <c r="D19" s="3">
        <v>7021</v>
      </c>
      <c r="E19" s="3">
        <v>604</v>
      </c>
      <c r="F19" s="3">
        <v>20766</v>
      </c>
      <c r="G19" s="3">
        <v>9535</v>
      </c>
      <c r="H19" s="3">
        <v>43254</v>
      </c>
      <c r="I19" s="3">
        <v>8</v>
      </c>
      <c r="J19" s="3">
        <v>35562</v>
      </c>
      <c r="K19" s="3">
        <v>4896</v>
      </c>
      <c r="L19" s="3">
        <v>225</v>
      </c>
      <c r="M19" s="3">
        <v>1132</v>
      </c>
      <c r="N19" s="3">
        <v>200</v>
      </c>
      <c r="O19" s="3">
        <v>0</v>
      </c>
      <c r="P19" s="3">
        <v>0</v>
      </c>
      <c r="Q19" s="218">
        <v>131543</v>
      </c>
      <c r="R19" s="56"/>
    </row>
    <row r="20" spans="1:21" ht="15.75" x14ac:dyDescent="0.2">
      <c r="A20" s="217">
        <f t="shared" si="0"/>
        <v>42979</v>
      </c>
      <c r="B20" s="3">
        <v>6535</v>
      </c>
      <c r="C20" s="3">
        <v>1771</v>
      </c>
      <c r="D20" s="3">
        <v>6954</v>
      </c>
      <c r="E20" s="3">
        <v>607</v>
      </c>
      <c r="F20" s="3">
        <v>20525</v>
      </c>
      <c r="G20" s="3">
        <v>9345</v>
      </c>
      <c r="H20" s="3">
        <v>43802</v>
      </c>
      <c r="I20" s="3">
        <v>7</v>
      </c>
      <c r="J20" s="3">
        <v>34835</v>
      </c>
      <c r="K20" s="3">
        <v>4747</v>
      </c>
      <c r="L20" s="3">
        <v>224</v>
      </c>
      <c r="M20" s="3">
        <v>1119</v>
      </c>
      <c r="N20" s="3">
        <v>188</v>
      </c>
      <c r="O20" s="3">
        <v>0</v>
      </c>
      <c r="P20" s="3">
        <v>0</v>
      </c>
      <c r="Q20" s="218">
        <v>130659</v>
      </c>
      <c r="R20" s="56"/>
    </row>
    <row r="21" spans="1:21" ht="15.75" x14ac:dyDescent="0.2">
      <c r="A21" s="217">
        <f t="shared" si="0"/>
        <v>43009</v>
      </c>
      <c r="B21" s="3">
        <v>7162</v>
      </c>
      <c r="C21" s="3">
        <v>1856</v>
      </c>
      <c r="D21" s="3">
        <v>7335</v>
      </c>
      <c r="E21" s="3">
        <v>660</v>
      </c>
      <c r="F21" s="3">
        <v>20361</v>
      </c>
      <c r="G21" s="3">
        <v>8238</v>
      </c>
      <c r="H21" s="3">
        <v>41032</v>
      </c>
      <c r="I21" s="3">
        <v>8</v>
      </c>
      <c r="J21" s="3">
        <v>34003</v>
      </c>
      <c r="K21" s="3">
        <v>4695</v>
      </c>
      <c r="L21" s="3">
        <v>235</v>
      </c>
      <c r="M21" s="3">
        <v>1067</v>
      </c>
      <c r="N21" s="3">
        <v>218</v>
      </c>
      <c r="O21" s="3">
        <v>0</v>
      </c>
      <c r="P21" s="3">
        <v>0</v>
      </c>
      <c r="Q21" s="218">
        <v>126870</v>
      </c>
      <c r="R21" s="56"/>
    </row>
    <row r="22" spans="1:21" ht="15.75" x14ac:dyDescent="0.2">
      <c r="A22" s="217">
        <f t="shared" si="0"/>
        <v>43040</v>
      </c>
      <c r="B22" s="3">
        <v>7225</v>
      </c>
      <c r="C22" s="3">
        <v>1871</v>
      </c>
      <c r="D22" s="3">
        <v>7344</v>
      </c>
      <c r="E22" s="3">
        <v>645</v>
      </c>
      <c r="F22" s="3">
        <v>20208</v>
      </c>
      <c r="G22" s="3">
        <v>7817</v>
      </c>
      <c r="H22" s="3">
        <v>40083</v>
      </c>
      <c r="I22" s="3">
        <v>8</v>
      </c>
      <c r="J22" s="3">
        <v>33338</v>
      </c>
      <c r="K22" s="3">
        <v>4665</v>
      </c>
      <c r="L22" s="3">
        <v>215</v>
      </c>
      <c r="M22" s="3">
        <v>998</v>
      </c>
      <c r="N22" s="3">
        <v>189</v>
      </c>
      <c r="O22" s="3">
        <v>0</v>
      </c>
      <c r="P22" s="3">
        <v>0</v>
      </c>
      <c r="Q22" s="218">
        <v>124606</v>
      </c>
      <c r="R22" s="56"/>
    </row>
    <row r="23" spans="1:21" ht="15.75" x14ac:dyDescent="0.2">
      <c r="A23" s="217">
        <f t="shared" si="0"/>
        <v>43070</v>
      </c>
      <c r="B23" s="3">
        <v>7257</v>
      </c>
      <c r="C23" s="3">
        <v>1880</v>
      </c>
      <c r="D23" s="3">
        <v>7360</v>
      </c>
      <c r="E23" s="3">
        <v>699</v>
      </c>
      <c r="F23" s="3">
        <v>20347</v>
      </c>
      <c r="G23" s="3">
        <v>7964</v>
      </c>
      <c r="H23" s="3">
        <v>41163</v>
      </c>
      <c r="I23" s="3">
        <v>8</v>
      </c>
      <c r="J23" s="3">
        <v>33602</v>
      </c>
      <c r="K23" s="3">
        <v>4624</v>
      </c>
      <c r="L23" s="3">
        <v>212</v>
      </c>
      <c r="M23" s="3">
        <v>1010</v>
      </c>
      <c r="N23" s="3">
        <v>202</v>
      </c>
      <c r="O23" s="3">
        <v>0</v>
      </c>
      <c r="P23" s="3">
        <v>0</v>
      </c>
      <c r="Q23" s="218">
        <v>126328</v>
      </c>
      <c r="R23" s="56"/>
    </row>
    <row r="24" spans="1:21" ht="15.75" x14ac:dyDescent="0.2">
      <c r="A24" s="217">
        <f t="shared" si="0"/>
        <v>43101</v>
      </c>
      <c r="B24" s="3">
        <v>7222</v>
      </c>
      <c r="C24" s="3">
        <v>1891</v>
      </c>
      <c r="D24" s="3">
        <v>7396</v>
      </c>
      <c r="E24" s="3">
        <v>717</v>
      </c>
      <c r="F24" s="3">
        <v>20262</v>
      </c>
      <c r="G24" s="3">
        <v>7478</v>
      </c>
      <c r="H24" s="3">
        <v>40028</v>
      </c>
      <c r="I24" s="3">
        <v>9</v>
      </c>
      <c r="J24" s="3">
        <v>33198</v>
      </c>
      <c r="K24" s="3">
        <v>4460</v>
      </c>
      <c r="L24" s="3">
        <v>208</v>
      </c>
      <c r="M24" s="3">
        <v>982</v>
      </c>
      <c r="N24" s="3">
        <v>195</v>
      </c>
      <c r="O24" s="3">
        <v>0</v>
      </c>
      <c r="P24" s="3">
        <v>0</v>
      </c>
      <c r="Q24" s="218">
        <v>124046</v>
      </c>
      <c r="R24" s="56"/>
    </row>
    <row r="25" spans="1:21" ht="15.75" x14ac:dyDescent="0.2">
      <c r="A25" s="217">
        <f t="shared" si="0"/>
        <v>43132</v>
      </c>
      <c r="B25" s="3">
        <v>7163</v>
      </c>
      <c r="C25" s="3">
        <v>1915</v>
      </c>
      <c r="D25" s="3">
        <v>7439</v>
      </c>
      <c r="E25" s="3">
        <v>747</v>
      </c>
      <c r="F25" s="3">
        <v>20407</v>
      </c>
      <c r="G25" s="3">
        <v>7636</v>
      </c>
      <c r="H25" s="3">
        <v>40860</v>
      </c>
      <c r="I25" s="3">
        <v>11</v>
      </c>
      <c r="J25" s="3">
        <v>32728</v>
      </c>
      <c r="K25" s="3">
        <v>4379</v>
      </c>
      <c r="L25" s="3">
        <v>208</v>
      </c>
      <c r="M25" s="3">
        <v>967</v>
      </c>
      <c r="N25" s="3">
        <v>190</v>
      </c>
      <c r="O25" s="3">
        <v>0</v>
      </c>
      <c r="P25" s="3">
        <v>0</v>
      </c>
      <c r="Q25" s="218">
        <v>124650</v>
      </c>
      <c r="R25" s="56"/>
    </row>
    <row r="26" spans="1:21" ht="15.75" x14ac:dyDescent="0.2">
      <c r="A26" s="217">
        <f t="shared" si="0"/>
        <v>43160</v>
      </c>
      <c r="B26" s="3">
        <v>7180</v>
      </c>
      <c r="C26" s="3">
        <v>1923</v>
      </c>
      <c r="D26" s="3">
        <v>7457</v>
      </c>
      <c r="E26" s="3">
        <v>762</v>
      </c>
      <c r="F26" s="3">
        <v>20077</v>
      </c>
      <c r="G26" s="3">
        <v>8427</v>
      </c>
      <c r="H26" s="3">
        <v>42222</v>
      </c>
      <c r="I26" s="3">
        <v>11</v>
      </c>
      <c r="J26" s="3">
        <v>32793</v>
      </c>
      <c r="K26" s="3">
        <v>4405</v>
      </c>
      <c r="L26" s="3">
        <v>214</v>
      </c>
      <c r="M26" s="3">
        <v>1025</v>
      </c>
      <c r="N26" s="3">
        <v>194</v>
      </c>
      <c r="O26" s="3">
        <v>0</v>
      </c>
      <c r="P26" s="3">
        <v>0</v>
      </c>
      <c r="Q26" s="218">
        <v>126690</v>
      </c>
      <c r="R26" s="56"/>
    </row>
    <row r="27" spans="1:21" ht="15.75" x14ac:dyDescent="0.2">
      <c r="A27" s="217">
        <f t="shared" si="0"/>
        <v>43191</v>
      </c>
      <c r="B27" s="3">
        <v>7142</v>
      </c>
      <c r="C27" s="3">
        <v>1932</v>
      </c>
      <c r="D27" s="3">
        <v>7345</v>
      </c>
      <c r="E27" s="3">
        <v>760</v>
      </c>
      <c r="F27" s="3">
        <v>19857</v>
      </c>
      <c r="G27" s="3">
        <v>8001</v>
      </c>
      <c r="H27" s="3">
        <v>40662</v>
      </c>
      <c r="I27" s="3">
        <v>10</v>
      </c>
      <c r="J27" s="3">
        <v>31587</v>
      </c>
      <c r="K27" s="3">
        <v>3873</v>
      </c>
      <c r="L27" s="3">
        <v>203</v>
      </c>
      <c r="M27" s="3">
        <v>1078</v>
      </c>
      <c r="N27" s="3">
        <v>181</v>
      </c>
      <c r="O27" s="3">
        <v>0</v>
      </c>
      <c r="P27" s="3">
        <v>0</v>
      </c>
      <c r="Q27" s="218">
        <v>122631</v>
      </c>
      <c r="R27" s="56"/>
    </row>
    <row r="28" spans="1:21" ht="15.75" x14ac:dyDescent="0.2">
      <c r="A28" s="217">
        <f t="shared" si="0"/>
        <v>43221</v>
      </c>
      <c r="B28" s="3"/>
      <c r="C28" s="3"/>
      <c r="D28" s="3"/>
      <c r="E28" s="3"/>
      <c r="F28" s="3"/>
      <c r="G28" s="3"/>
      <c r="H28" s="3"/>
      <c r="I28" s="3"/>
      <c r="J28" s="3"/>
      <c r="K28" s="3"/>
      <c r="L28" s="3"/>
      <c r="M28" s="3"/>
      <c r="N28" s="3"/>
      <c r="O28" s="3"/>
      <c r="P28" s="3"/>
      <c r="Q28" s="218"/>
      <c r="R28" s="56"/>
    </row>
    <row r="29" spans="1:21" ht="16.5" thickBot="1" x14ac:dyDescent="0.25">
      <c r="A29" s="273">
        <f t="shared" si="0"/>
        <v>43252</v>
      </c>
      <c r="B29" s="274"/>
      <c r="C29" s="274"/>
      <c r="D29" s="274"/>
      <c r="E29" s="274"/>
      <c r="F29" s="274"/>
      <c r="G29" s="274"/>
      <c r="H29" s="274"/>
      <c r="I29" s="274"/>
      <c r="J29" s="274"/>
      <c r="K29" s="274"/>
      <c r="L29" s="274"/>
      <c r="M29" s="274"/>
      <c r="N29" s="274"/>
      <c r="O29" s="274"/>
      <c r="P29" s="274"/>
      <c r="Q29" s="275"/>
      <c r="R29" s="56"/>
      <c r="T29" s="278"/>
    </row>
    <row r="30" spans="1:21" ht="17.25" thickTop="1" thickBot="1" x14ac:dyDescent="0.3">
      <c r="A30" s="225" t="str">
        <f t="shared" si="0"/>
        <v>FY 2017-18 Year-to-Date Average</v>
      </c>
      <c r="B30" s="5">
        <v>7001</v>
      </c>
      <c r="C30" s="5">
        <v>1856</v>
      </c>
      <c r="D30" s="5">
        <v>7268</v>
      </c>
      <c r="E30" s="5">
        <v>679</v>
      </c>
      <c r="F30" s="5">
        <v>20364</v>
      </c>
      <c r="G30" s="5">
        <v>8364</v>
      </c>
      <c r="H30" s="5">
        <v>41506</v>
      </c>
      <c r="I30" s="5">
        <v>9</v>
      </c>
      <c r="J30" s="5">
        <v>33741</v>
      </c>
      <c r="K30" s="5">
        <v>4550</v>
      </c>
      <c r="L30" s="5">
        <v>217</v>
      </c>
      <c r="M30" s="5">
        <v>1052</v>
      </c>
      <c r="N30" s="5">
        <v>198</v>
      </c>
      <c r="O30" s="5">
        <v>0</v>
      </c>
      <c r="P30" s="5">
        <v>0</v>
      </c>
      <c r="Q30" s="226">
        <v>126805</v>
      </c>
      <c r="R30" s="56"/>
      <c r="S30" s="5"/>
      <c r="T30" s="631"/>
    </row>
    <row r="31" spans="1:21" ht="16.5" thickBot="1" x14ac:dyDescent="0.25">
      <c r="A31" s="382" t="s">
        <v>193</v>
      </c>
      <c r="B31" s="383"/>
      <c r="C31" s="383"/>
      <c r="D31" s="383"/>
      <c r="E31" s="383"/>
      <c r="F31" s="383"/>
      <c r="G31" s="383"/>
      <c r="H31" s="383"/>
      <c r="I31" s="383"/>
      <c r="J31" s="383"/>
      <c r="K31" s="383"/>
      <c r="L31" s="383"/>
      <c r="M31" s="383"/>
      <c r="N31" s="383"/>
      <c r="O31" s="383"/>
      <c r="P31" s="383"/>
      <c r="Q31" s="384"/>
      <c r="R31" s="324"/>
    </row>
    <row r="32" spans="1:21" ht="15.75" x14ac:dyDescent="0.2">
      <c r="A32" s="223">
        <f>A4</f>
        <v>42917</v>
      </c>
      <c r="B32" s="212">
        <v>1574</v>
      </c>
      <c r="C32" s="212">
        <v>600</v>
      </c>
      <c r="D32" s="212">
        <v>3186</v>
      </c>
      <c r="E32" s="212">
        <v>401</v>
      </c>
      <c r="F32" s="212">
        <v>9069</v>
      </c>
      <c r="G32" s="212">
        <v>4505</v>
      </c>
      <c r="H32" s="212">
        <v>17645</v>
      </c>
      <c r="I32" s="212">
        <v>0</v>
      </c>
      <c r="J32" s="212">
        <v>90</v>
      </c>
      <c r="K32" s="212">
        <v>19</v>
      </c>
      <c r="L32" s="212">
        <v>1</v>
      </c>
      <c r="M32" s="212">
        <v>539</v>
      </c>
      <c r="N32" s="212">
        <v>132</v>
      </c>
      <c r="O32" s="212">
        <v>0</v>
      </c>
      <c r="P32" s="212">
        <v>0</v>
      </c>
      <c r="Q32" s="224">
        <v>37761</v>
      </c>
      <c r="R32" s="56"/>
      <c r="U32" s="278"/>
    </row>
    <row r="33" spans="1:23" ht="15.75" x14ac:dyDescent="0.2">
      <c r="A33" s="217">
        <f t="shared" ref="A33:A44" si="1">A5</f>
        <v>42948</v>
      </c>
      <c r="B33" s="3">
        <v>1597</v>
      </c>
      <c r="C33" s="3">
        <v>614</v>
      </c>
      <c r="D33" s="3">
        <v>3177</v>
      </c>
      <c r="E33" s="3">
        <v>408</v>
      </c>
      <c r="F33" s="3">
        <v>8975</v>
      </c>
      <c r="G33" s="3">
        <v>4614</v>
      </c>
      <c r="H33" s="3">
        <v>17842</v>
      </c>
      <c r="I33" s="3">
        <v>0</v>
      </c>
      <c r="J33" s="3">
        <v>77</v>
      </c>
      <c r="K33" s="3">
        <v>15</v>
      </c>
      <c r="L33" s="3">
        <v>3</v>
      </c>
      <c r="M33" s="3">
        <v>533</v>
      </c>
      <c r="N33" s="3">
        <v>118</v>
      </c>
      <c r="O33" s="3">
        <v>0</v>
      </c>
      <c r="P33" s="3">
        <v>0</v>
      </c>
      <c r="Q33" s="218">
        <v>37973</v>
      </c>
      <c r="R33" s="56"/>
      <c r="U33" s="278"/>
    </row>
    <row r="34" spans="1:23" ht="15.75" x14ac:dyDescent="0.2">
      <c r="A34" s="217">
        <f t="shared" si="1"/>
        <v>42979</v>
      </c>
      <c r="B34" s="3">
        <v>1588</v>
      </c>
      <c r="C34" s="3">
        <v>616</v>
      </c>
      <c r="D34" s="3">
        <v>3166</v>
      </c>
      <c r="E34" s="3">
        <v>417</v>
      </c>
      <c r="F34" s="3">
        <v>8923</v>
      </c>
      <c r="G34" s="3">
        <v>4590</v>
      </c>
      <c r="H34" s="3">
        <v>17920</v>
      </c>
      <c r="I34" s="3">
        <v>0</v>
      </c>
      <c r="J34" s="3">
        <v>34</v>
      </c>
      <c r="K34" s="3">
        <v>9</v>
      </c>
      <c r="L34" s="3">
        <v>0</v>
      </c>
      <c r="M34" s="3">
        <v>492</v>
      </c>
      <c r="N34" s="3">
        <v>118</v>
      </c>
      <c r="O34" s="3">
        <v>0</v>
      </c>
      <c r="P34" s="3">
        <v>0</v>
      </c>
      <c r="Q34" s="218">
        <v>37873</v>
      </c>
      <c r="R34" s="56"/>
      <c r="S34" s="278"/>
      <c r="U34" s="278"/>
    </row>
    <row r="35" spans="1:23" ht="15.75" x14ac:dyDescent="0.2">
      <c r="A35" s="217">
        <f t="shared" si="1"/>
        <v>43009</v>
      </c>
      <c r="B35" s="3">
        <v>1640</v>
      </c>
      <c r="C35" s="3">
        <v>624</v>
      </c>
      <c r="D35" s="3">
        <v>3211</v>
      </c>
      <c r="E35" s="3">
        <v>440</v>
      </c>
      <c r="F35" s="3">
        <v>8910</v>
      </c>
      <c r="G35" s="3">
        <v>4120</v>
      </c>
      <c r="H35" s="3">
        <v>17074</v>
      </c>
      <c r="I35" s="3">
        <v>0</v>
      </c>
      <c r="J35" s="3">
        <v>92</v>
      </c>
      <c r="K35" s="3">
        <v>19</v>
      </c>
      <c r="L35" s="3">
        <v>0</v>
      </c>
      <c r="M35" s="3">
        <v>489</v>
      </c>
      <c r="N35" s="3">
        <v>122</v>
      </c>
      <c r="O35" s="3">
        <v>0</v>
      </c>
      <c r="P35" s="3">
        <v>0</v>
      </c>
      <c r="Q35" s="218">
        <v>36741</v>
      </c>
      <c r="R35" s="56"/>
      <c r="U35" s="278"/>
    </row>
    <row r="36" spans="1:23" ht="15.75" x14ac:dyDescent="0.2">
      <c r="A36" s="217">
        <f t="shared" si="1"/>
        <v>43040</v>
      </c>
      <c r="B36" s="3">
        <v>1674</v>
      </c>
      <c r="C36" s="3">
        <v>616</v>
      </c>
      <c r="D36" s="3">
        <v>3231</v>
      </c>
      <c r="E36" s="3">
        <v>441</v>
      </c>
      <c r="F36" s="3">
        <v>8915</v>
      </c>
      <c r="G36" s="3">
        <v>3960</v>
      </c>
      <c r="H36" s="3">
        <v>16777</v>
      </c>
      <c r="I36" s="3">
        <v>0</v>
      </c>
      <c r="J36" s="3">
        <v>124</v>
      </c>
      <c r="K36" s="3">
        <v>26</v>
      </c>
      <c r="L36" s="3">
        <v>0</v>
      </c>
      <c r="M36" s="3">
        <v>459</v>
      </c>
      <c r="N36" s="3">
        <v>111</v>
      </c>
      <c r="O36" s="3">
        <v>0</v>
      </c>
      <c r="P36" s="3">
        <v>0</v>
      </c>
      <c r="Q36" s="218">
        <v>36334</v>
      </c>
      <c r="R36" s="56"/>
      <c r="U36" s="278"/>
    </row>
    <row r="37" spans="1:23" ht="15.75" x14ac:dyDescent="0.2">
      <c r="A37" s="217">
        <f t="shared" si="1"/>
        <v>43070</v>
      </c>
      <c r="B37" s="3">
        <v>1701</v>
      </c>
      <c r="C37" s="3">
        <v>611</v>
      </c>
      <c r="D37" s="3">
        <v>3227</v>
      </c>
      <c r="E37" s="3">
        <v>453</v>
      </c>
      <c r="F37" s="3">
        <v>8888</v>
      </c>
      <c r="G37" s="3">
        <v>4025</v>
      </c>
      <c r="H37" s="3">
        <v>16813</v>
      </c>
      <c r="I37" s="3">
        <v>0</v>
      </c>
      <c r="J37" s="3">
        <v>35</v>
      </c>
      <c r="K37" s="3">
        <v>7</v>
      </c>
      <c r="L37" s="3">
        <v>0</v>
      </c>
      <c r="M37" s="3">
        <v>445</v>
      </c>
      <c r="N37" s="3">
        <v>116</v>
      </c>
      <c r="O37" s="3">
        <v>0</v>
      </c>
      <c r="P37" s="3">
        <v>0</v>
      </c>
      <c r="Q37" s="218">
        <v>36321</v>
      </c>
      <c r="R37" s="56"/>
      <c r="U37" s="278"/>
    </row>
    <row r="38" spans="1:23" ht="15.75" x14ac:dyDescent="0.2">
      <c r="A38" s="217">
        <f t="shared" si="1"/>
        <v>43101</v>
      </c>
      <c r="B38" s="3">
        <v>1705</v>
      </c>
      <c r="C38" s="3">
        <v>622</v>
      </c>
      <c r="D38" s="3">
        <v>3260</v>
      </c>
      <c r="E38" s="3">
        <v>470</v>
      </c>
      <c r="F38" s="3">
        <v>8884</v>
      </c>
      <c r="G38" s="3">
        <v>3898</v>
      </c>
      <c r="H38" s="3">
        <v>16353</v>
      </c>
      <c r="I38" s="3">
        <v>0</v>
      </c>
      <c r="J38" s="3">
        <v>33</v>
      </c>
      <c r="K38" s="3">
        <v>17</v>
      </c>
      <c r="L38" s="3">
        <v>0</v>
      </c>
      <c r="M38" s="3">
        <v>444</v>
      </c>
      <c r="N38" s="3">
        <v>113</v>
      </c>
      <c r="O38" s="3">
        <v>0</v>
      </c>
      <c r="P38" s="3">
        <v>0</v>
      </c>
      <c r="Q38" s="218">
        <v>35799</v>
      </c>
      <c r="R38" s="56"/>
      <c r="U38" s="278"/>
    </row>
    <row r="39" spans="1:23" ht="15.75" x14ac:dyDescent="0.2">
      <c r="A39" s="217">
        <f t="shared" si="1"/>
        <v>43132</v>
      </c>
      <c r="B39" s="3">
        <v>1698</v>
      </c>
      <c r="C39" s="3">
        <v>634</v>
      </c>
      <c r="D39" s="3">
        <v>3287</v>
      </c>
      <c r="E39" s="3">
        <v>474</v>
      </c>
      <c r="F39" s="3">
        <v>8963</v>
      </c>
      <c r="G39" s="3">
        <v>3959</v>
      </c>
      <c r="H39" s="3">
        <v>16406</v>
      </c>
      <c r="I39" s="3">
        <v>0</v>
      </c>
      <c r="J39" s="3">
        <v>14</v>
      </c>
      <c r="K39" s="3">
        <v>2</v>
      </c>
      <c r="L39" s="3">
        <v>0</v>
      </c>
      <c r="M39" s="3">
        <v>438</v>
      </c>
      <c r="N39" s="3">
        <v>106</v>
      </c>
      <c r="O39" s="3">
        <v>0</v>
      </c>
      <c r="P39" s="3">
        <v>0</v>
      </c>
      <c r="Q39" s="218">
        <v>35981</v>
      </c>
      <c r="R39" s="56"/>
      <c r="U39" s="278"/>
    </row>
    <row r="40" spans="1:23" ht="15.75" x14ac:dyDescent="0.2">
      <c r="A40" s="217">
        <f t="shared" si="1"/>
        <v>43160</v>
      </c>
      <c r="B40" s="3">
        <v>1726</v>
      </c>
      <c r="C40" s="3">
        <v>642</v>
      </c>
      <c r="D40" s="3">
        <v>3279</v>
      </c>
      <c r="E40" s="3">
        <v>481</v>
      </c>
      <c r="F40" s="3">
        <v>8729</v>
      </c>
      <c r="G40" s="3">
        <v>4265</v>
      </c>
      <c r="H40" s="3">
        <v>16632</v>
      </c>
      <c r="I40" s="3">
        <v>0</v>
      </c>
      <c r="J40" s="3">
        <v>13</v>
      </c>
      <c r="K40" s="3">
        <v>4</v>
      </c>
      <c r="L40" s="3">
        <v>0</v>
      </c>
      <c r="M40" s="3">
        <v>447</v>
      </c>
      <c r="N40" s="3">
        <v>99</v>
      </c>
      <c r="O40" s="3">
        <v>0</v>
      </c>
      <c r="P40" s="3">
        <v>0</v>
      </c>
      <c r="Q40" s="218">
        <v>36317</v>
      </c>
      <c r="R40" s="56"/>
      <c r="U40" s="278"/>
    </row>
    <row r="41" spans="1:23" ht="15.75" x14ac:dyDescent="0.2">
      <c r="A41" s="217">
        <f t="shared" si="1"/>
        <v>43191</v>
      </c>
      <c r="B41" s="3">
        <v>1704</v>
      </c>
      <c r="C41" s="3">
        <v>650</v>
      </c>
      <c r="D41" s="3">
        <v>3305</v>
      </c>
      <c r="E41" s="3">
        <v>487</v>
      </c>
      <c r="F41" s="3">
        <v>8815</v>
      </c>
      <c r="G41" s="3">
        <v>4102</v>
      </c>
      <c r="H41" s="3">
        <v>16325</v>
      </c>
      <c r="I41" s="3">
        <v>0</v>
      </c>
      <c r="J41" s="3">
        <v>31</v>
      </c>
      <c r="K41" s="3">
        <v>5</v>
      </c>
      <c r="L41" s="3">
        <v>0</v>
      </c>
      <c r="M41" s="3">
        <v>496</v>
      </c>
      <c r="N41" s="3">
        <v>101</v>
      </c>
      <c r="O41" s="3">
        <v>0</v>
      </c>
      <c r="P41" s="3">
        <v>0</v>
      </c>
      <c r="Q41" s="218">
        <v>36021</v>
      </c>
      <c r="R41" s="56"/>
    </row>
    <row r="42" spans="1:23" ht="15.75" x14ac:dyDescent="0.2">
      <c r="A42" s="217">
        <f t="shared" si="1"/>
        <v>43221</v>
      </c>
      <c r="B42" s="3"/>
      <c r="C42" s="3"/>
      <c r="D42" s="3"/>
      <c r="E42" s="3"/>
      <c r="F42" s="3"/>
      <c r="G42" s="3"/>
      <c r="H42" s="3"/>
      <c r="I42" s="3"/>
      <c r="J42" s="3"/>
      <c r="K42" s="3"/>
      <c r="L42" s="3"/>
      <c r="M42" s="3"/>
      <c r="N42" s="3"/>
      <c r="O42" s="3"/>
      <c r="P42" s="3"/>
      <c r="Q42" s="218"/>
      <c r="R42" s="56"/>
    </row>
    <row r="43" spans="1:23" ht="16.5" thickBot="1" x14ac:dyDescent="0.25">
      <c r="A43" s="273">
        <f t="shared" si="1"/>
        <v>43252</v>
      </c>
      <c r="B43" s="274"/>
      <c r="C43" s="274"/>
      <c r="D43" s="274"/>
      <c r="E43" s="274"/>
      <c r="F43" s="365"/>
      <c r="G43" s="365"/>
      <c r="H43" s="274"/>
      <c r="I43" s="274"/>
      <c r="J43" s="274"/>
      <c r="K43" s="274"/>
      <c r="L43" s="274"/>
      <c r="M43" s="274"/>
      <c r="N43" s="274"/>
      <c r="O43" s="274"/>
      <c r="P43" s="274"/>
      <c r="Q43" s="275"/>
      <c r="R43" s="56"/>
      <c r="W43" s="278"/>
    </row>
    <row r="44" spans="1:23" ht="17.25" thickTop="1" thickBot="1" x14ac:dyDescent="0.3">
      <c r="A44" s="225" t="str">
        <f t="shared" si="1"/>
        <v>FY 2017-18 Year-to-Date Average</v>
      </c>
      <c r="B44" s="5">
        <v>1661</v>
      </c>
      <c r="C44" s="5">
        <v>622</v>
      </c>
      <c r="D44" s="5">
        <v>3232</v>
      </c>
      <c r="E44" s="5">
        <v>448</v>
      </c>
      <c r="F44" s="5">
        <v>8907</v>
      </c>
      <c r="G44" s="5">
        <v>4204</v>
      </c>
      <c r="H44" s="5">
        <v>16979</v>
      </c>
      <c r="I44" s="5">
        <v>0</v>
      </c>
      <c r="J44" s="5">
        <v>54</v>
      </c>
      <c r="K44" s="5">
        <v>12</v>
      </c>
      <c r="L44" s="5">
        <v>0</v>
      </c>
      <c r="M44" s="5">
        <v>478</v>
      </c>
      <c r="N44" s="5">
        <v>114</v>
      </c>
      <c r="O44" s="5">
        <v>0</v>
      </c>
      <c r="P44" s="5">
        <v>0</v>
      </c>
      <c r="Q44" s="226">
        <v>36711</v>
      </c>
      <c r="R44" s="56"/>
      <c r="S44" s="5"/>
      <c r="T44" s="278"/>
      <c r="U44" s="631"/>
    </row>
    <row r="45" spans="1:23" ht="16.5" thickBot="1" x14ac:dyDescent="0.25">
      <c r="A45" s="382" t="s">
        <v>324</v>
      </c>
      <c r="B45" s="383"/>
      <c r="C45" s="383"/>
      <c r="D45" s="383"/>
      <c r="E45" s="383"/>
      <c r="F45" s="383"/>
      <c r="G45" s="383"/>
      <c r="H45" s="383"/>
      <c r="I45" s="383"/>
      <c r="J45" s="383"/>
      <c r="K45" s="383"/>
      <c r="L45" s="383"/>
      <c r="M45" s="383"/>
      <c r="N45" s="383"/>
      <c r="O45" s="383"/>
      <c r="P45" s="383"/>
      <c r="Q45" s="384"/>
      <c r="R45" s="56"/>
      <c r="S45" s="5"/>
      <c r="T45" s="278"/>
    </row>
    <row r="46" spans="1:23" ht="15.75" x14ac:dyDescent="0.2">
      <c r="A46" s="223">
        <f>A4</f>
        <v>42917</v>
      </c>
      <c r="B46" s="212">
        <v>0</v>
      </c>
      <c r="C46" s="212">
        <v>0</v>
      </c>
      <c r="D46" s="212">
        <v>0</v>
      </c>
      <c r="E46" s="212">
        <v>0</v>
      </c>
      <c r="F46" s="212">
        <v>4</v>
      </c>
      <c r="G46" s="212">
        <v>0</v>
      </c>
      <c r="H46" s="212">
        <v>0</v>
      </c>
      <c r="I46" s="212">
        <v>0</v>
      </c>
      <c r="J46" s="212">
        <v>3</v>
      </c>
      <c r="K46" s="212">
        <v>0</v>
      </c>
      <c r="L46" s="212">
        <v>0</v>
      </c>
      <c r="M46" s="212">
        <v>0</v>
      </c>
      <c r="N46" s="212">
        <v>0</v>
      </c>
      <c r="O46" s="212">
        <v>0</v>
      </c>
      <c r="P46" s="212">
        <v>0</v>
      </c>
      <c r="Q46" s="224">
        <v>7</v>
      </c>
      <c r="R46" s="56"/>
      <c r="S46" s="5"/>
      <c r="T46" s="278"/>
    </row>
    <row r="47" spans="1:23" ht="15.75" x14ac:dyDescent="0.2">
      <c r="A47" s="217">
        <f t="shared" ref="A47:A58" si="2">A5</f>
        <v>42948</v>
      </c>
      <c r="B47" s="3">
        <v>0</v>
      </c>
      <c r="C47" s="3">
        <v>0</v>
      </c>
      <c r="D47" s="3">
        <v>0</v>
      </c>
      <c r="E47" s="3">
        <v>0</v>
      </c>
      <c r="F47" s="3">
        <v>4</v>
      </c>
      <c r="G47" s="3">
        <v>0</v>
      </c>
      <c r="H47" s="3">
        <v>0</v>
      </c>
      <c r="I47" s="3">
        <v>0</v>
      </c>
      <c r="J47" s="3">
        <v>3</v>
      </c>
      <c r="K47" s="3">
        <v>0</v>
      </c>
      <c r="L47" s="3">
        <v>0</v>
      </c>
      <c r="M47" s="3">
        <v>0</v>
      </c>
      <c r="N47" s="3">
        <v>0</v>
      </c>
      <c r="O47" s="3">
        <v>0</v>
      </c>
      <c r="P47" s="3">
        <v>0</v>
      </c>
      <c r="Q47" s="218">
        <v>7</v>
      </c>
      <c r="R47" s="56"/>
      <c r="S47" s="5"/>
      <c r="T47" s="278"/>
    </row>
    <row r="48" spans="1:23" ht="15.75" x14ac:dyDescent="0.2">
      <c r="A48" s="217">
        <f t="shared" si="2"/>
        <v>42979</v>
      </c>
      <c r="B48" s="3">
        <v>0</v>
      </c>
      <c r="C48" s="3">
        <v>0</v>
      </c>
      <c r="D48" s="3">
        <v>0</v>
      </c>
      <c r="E48" s="3">
        <v>0</v>
      </c>
      <c r="F48" s="3">
        <v>0</v>
      </c>
      <c r="G48" s="3">
        <v>0</v>
      </c>
      <c r="H48" s="3">
        <v>0</v>
      </c>
      <c r="I48" s="3">
        <v>0</v>
      </c>
      <c r="J48" s="3">
        <v>0</v>
      </c>
      <c r="K48" s="3">
        <v>0</v>
      </c>
      <c r="L48" s="3">
        <v>0</v>
      </c>
      <c r="M48" s="3">
        <v>0</v>
      </c>
      <c r="N48" s="3">
        <v>0</v>
      </c>
      <c r="O48" s="3">
        <v>0</v>
      </c>
      <c r="P48" s="3">
        <v>0</v>
      </c>
      <c r="Q48" s="218">
        <v>0</v>
      </c>
      <c r="R48" s="56"/>
      <c r="S48" s="5"/>
      <c r="T48" s="278"/>
    </row>
    <row r="49" spans="1:20" ht="15.75" x14ac:dyDescent="0.2">
      <c r="A49" s="217">
        <f t="shared" si="2"/>
        <v>43009</v>
      </c>
      <c r="B49" s="3">
        <v>0</v>
      </c>
      <c r="C49" s="3">
        <v>0</v>
      </c>
      <c r="D49" s="3">
        <v>0</v>
      </c>
      <c r="E49" s="3">
        <v>0</v>
      </c>
      <c r="F49" s="3">
        <v>0</v>
      </c>
      <c r="G49" s="3">
        <v>0</v>
      </c>
      <c r="H49" s="3">
        <v>0</v>
      </c>
      <c r="I49" s="3">
        <v>0</v>
      </c>
      <c r="J49" s="3">
        <v>0</v>
      </c>
      <c r="K49" s="3">
        <v>0</v>
      </c>
      <c r="L49" s="3">
        <v>0</v>
      </c>
      <c r="M49" s="3">
        <v>0</v>
      </c>
      <c r="N49" s="3">
        <v>0</v>
      </c>
      <c r="O49" s="3">
        <v>0</v>
      </c>
      <c r="P49" s="3">
        <v>0</v>
      </c>
      <c r="Q49" s="218">
        <v>0</v>
      </c>
      <c r="R49" s="56"/>
      <c r="S49" s="5"/>
      <c r="T49" s="278"/>
    </row>
    <row r="50" spans="1:20" ht="15.75" x14ac:dyDescent="0.2">
      <c r="A50" s="217">
        <f t="shared" si="2"/>
        <v>43040</v>
      </c>
      <c r="B50" s="3">
        <v>0</v>
      </c>
      <c r="C50" s="3">
        <v>0</v>
      </c>
      <c r="D50" s="3">
        <v>0</v>
      </c>
      <c r="E50" s="3">
        <v>0</v>
      </c>
      <c r="F50" s="3">
        <v>0</v>
      </c>
      <c r="G50" s="3">
        <v>0</v>
      </c>
      <c r="H50" s="3">
        <v>0</v>
      </c>
      <c r="I50" s="3">
        <v>0</v>
      </c>
      <c r="J50" s="3">
        <v>0</v>
      </c>
      <c r="K50" s="3">
        <v>0</v>
      </c>
      <c r="L50" s="3">
        <v>0</v>
      </c>
      <c r="M50" s="3">
        <v>0</v>
      </c>
      <c r="N50" s="3">
        <v>0</v>
      </c>
      <c r="O50" s="3">
        <v>0</v>
      </c>
      <c r="P50" s="3">
        <v>0</v>
      </c>
      <c r="Q50" s="218">
        <v>0</v>
      </c>
      <c r="R50" s="56"/>
      <c r="S50" s="5"/>
      <c r="T50" s="278"/>
    </row>
    <row r="51" spans="1:20" ht="15.75" x14ac:dyDescent="0.2">
      <c r="A51" s="217">
        <f t="shared" si="2"/>
        <v>43070</v>
      </c>
      <c r="B51" s="3">
        <v>0</v>
      </c>
      <c r="C51" s="3">
        <v>0</v>
      </c>
      <c r="D51" s="3">
        <v>0</v>
      </c>
      <c r="E51" s="3">
        <v>0</v>
      </c>
      <c r="F51" s="3">
        <v>0</v>
      </c>
      <c r="G51" s="3">
        <v>0</v>
      </c>
      <c r="H51" s="3">
        <v>0</v>
      </c>
      <c r="I51" s="3">
        <v>0</v>
      </c>
      <c r="J51" s="3">
        <v>0</v>
      </c>
      <c r="K51" s="3">
        <v>0</v>
      </c>
      <c r="L51" s="3">
        <v>0</v>
      </c>
      <c r="M51" s="3">
        <v>0</v>
      </c>
      <c r="N51" s="3">
        <v>0</v>
      </c>
      <c r="O51" s="3">
        <v>0</v>
      </c>
      <c r="P51" s="3">
        <v>0</v>
      </c>
      <c r="Q51" s="218">
        <v>0</v>
      </c>
      <c r="R51" s="56"/>
      <c r="S51" s="5"/>
      <c r="T51" s="278"/>
    </row>
    <row r="52" spans="1:20" ht="15.75" x14ac:dyDescent="0.2">
      <c r="A52" s="217">
        <f t="shared" si="2"/>
        <v>43101</v>
      </c>
      <c r="B52" s="3">
        <v>0</v>
      </c>
      <c r="C52" s="3">
        <v>0</v>
      </c>
      <c r="D52" s="3">
        <v>0</v>
      </c>
      <c r="E52" s="3">
        <v>0</v>
      </c>
      <c r="F52" s="3">
        <v>0</v>
      </c>
      <c r="G52" s="3">
        <v>0</v>
      </c>
      <c r="H52" s="3">
        <v>0</v>
      </c>
      <c r="I52" s="3">
        <v>0</v>
      </c>
      <c r="J52" s="3">
        <v>0</v>
      </c>
      <c r="K52" s="3">
        <v>0</v>
      </c>
      <c r="L52" s="3">
        <v>0</v>
      </c>
      <c r="M52" s="3">
        <v>0</v>
      </c>
      <c r="N52" s="3">
        <v>0</v>
      </c>
      <c r="O52" s="3">
        <v>0</v>
      </c>
      <c r="P52" s="3">
        <v>0</v>
      </c>
      <c r="Q52" s="218">
        <v>0</v>
      </c>
      <c r="R52" s="56"/>
      <c r="S52" s="5"/>
      <c r="T52" s="278"/>
    </row>
    <row r="53" spans="1:20" ht="15.75" x14ac:dyDescent="0.2">
      <c r="A53" s="217">
        <f t="shared" si="2"/>
        <v>43132</v>
      </c>
      <c r="B53" s="3">
        <v>0</v>
      </c>
      <c r="C53" s="3">
        <v>0</v>
      </c>
      <c r="D53" s="3">
        <v>0</v>
      </c>
      <c r="E53" s="3">
        <v>0</v>
      </c>
      <c r="F53" s="3">
        <v>0</v>
      </c>
      <c r="G53" s="3">
        <v>0</v>
      </c>
      <c r="H53" s="3">
        <v>0</v>
      </c>
      <c r="I53" s="3">
        <v>0</v>
      </c>
      <c r="J53" s="3">
        <v>0</v>
      </c>
      <c r="K53" s="3">
        <v>0</v>
      </c>
      <c r="L53" s="3">
        <v>0</v>
      </c>
      <c r="M53" s="3">
        <v>0</v>
      </c>
      <c r="N53" s="3">
        <v>0</v>
      </c>
      <c r="O53" s="3">
        <v>0</v>
      </c>
      <c r="P53" s="3">
        <v>0</v>
      </c>
      <c r="Q53" s="218">
        <v>0</v>
      </c>
      <c r="R53" s="56"/>
      <c r="S53" s="5"/>
      <c r="T53" s="278"/>
    </row>
    <row r="54" spans="1:20" ht="15.75" x14ac:dyDescent="0.2">
      <c r="A54" s="217">
        <f t="shared" si="2"/>
        <v>43160</v>
      </c>
      <c r="B54" s="3">
        <v>0</v>
      </c>
      <c r="C54" s="3">
        <v>0</v>
      </c>
      <c r="D54" s="3">
        <v>0</v>
      </c>
      <c r="E54" s="3">
        <v>0</v>
      </c>
      <c r="F54" s="3">
        <v>0</v>
      </c>
      <c r="G54" s="3">
        <v>0</v>
      </c>
      <c r="H54" s="3">
        <v>0</v>
      </c>
      <c r="I54" s="3">
        <v>0</v>
      </c>
      <c r="J54" s="3">
        <v>0</v>
      </c>
      <c r="K54" s="3">
        <v>0</v>
      </c>
      <c r="L54" s="3">
        <v>0</v>
      </c>
      <c r="M54" s="3">
        <v>0</v>
      </c>
      <c r="N54" s="3">
        <v>0</v>
      </c>
      <c r="O54" s="3">
        <v>0</v>
      </c>
      <c r="P54" s="3">
        <v>0</v>
      </c>
      <c r="Q54" s="218">
        <v>0</v>
      </c>
      <c r="R54" s="56"/>
      <c r="S54" s="5"/>
      <c r="T54" s="278"/>
    </row>
    <row r="55" spans="1:20" ht="15.75" x14ac:dyDescent="0.2">
      <c r="A55" s="217">
        <f t="shared" si="2"/>
        <v>43191</v>
      </c>
      <c r="B55" s="3">
        <v>0</v>
      </c>
      <c r="C55" s="3">
        <v>0</v>
      </c>
      <c r="D55" s="3">
        <v>0</v>
      </c>
      <c r="E55" s="3">
        <v>0</v>
      </c>
      <c r="F55" s="3">
        <v>0</v>
      </c>
      <c r="G55" s="3">
        <v>0</v>
      </c>
      <c r="H55" s="3">
        <v>0</v>
      </c>
      <c r="I55" s="3">
        <v>0</v>
      </c>
      <c r="J55" s="3">
        <v>0</v>
      </c>
      <c r="K55" s="3">
        <v>0</v>
      </c>
      <c r="L55" s="3">
        <v>0</v>
      </c>
      <c r="M55" s="3">
        <v>0</v>
      </c>
      <c r="N55" s="3">
        <v>0</v>
      </c>
      <c r="O55" s="3">
        <v>0</v>
      </c>
      <c r="P55" s="3">
        <v>0</v>
      </c>
      <c r="Q55" s="218">
        <v>0</v>
      </c>
      <c r="R55" s="56"/>
      <c r="S55" s="5"/>
      <c r="T55" s="278"/>
    </row>
    <row r="56" spans="1:20" ht="15.75" x14ac:dyDescent="0.2">
      <c r="A56" s="217">
        <f t="shared" si="2"/>
        <v>43221</v>
      </c>
      <c r="B56" s="3"/>
      <c r="C56" s="3"/>
      <c r="D56" s="3"/>
      <c r="E56" s="3"/>
      <c r="F56" s="3"/>
      <c r="G56" s="3"/>
      <c r="H56" s="3"/>
      <c r="I56" s="3"/>
      <c r="J56" s="3"/>
      <c r="K56" s="3"/>
      <c r="L56" s="3"/>
      <c r="M56" s="3"/>
      <c r="N56" s="3"/>
      <c r="O56" s="3"/>
      <c r="P56" s="3"/>
      <c r="Q56" s="218"/>
      <c r="R56" s="56"/>
      <c r="S56" s="5"/>
      <c r="T56" s="278"/>
    </row>
    <row r="57" spans="1:20" ht="16.5" thickBot="1" x14ac:dyDescent="0.25">
      <c r="A57" s="273">
        <f t="shared" si="2"/>
        <v>43252</v>
      </c>
      <c r="B57" s="274"/>
      <c r="C57" s="274"/>
      <c r="D57" s="274"/>
      <c r="E57" s="274"/>
      <c r="F57" s="365"/>
      <c r="G57" s="365"/>
      <c r="H57" s="274"/>
      <c r="I57" s="274"/>
      <c r="J57" s="274"/>
      <c r="K57" s="274"/>
      <c r="L57" s="274"/>
      <c r="M57" s="274"/>
      <c r="N57" s="274"/>
      <c r="O57" s="274"/>
      <c r="P57" s="274"/>
      <c r="Q57" s="275"/>
      <c r="R57" s="56"/>
      <c r="S57" s="5"/>
      <c r="T57" s="278"/>
    </row>
    <row r="58" spans="1:20" ht="17.25" thickTop="1" thickBot="1" x14ac:dyDescent="0.3">
      <c r="A58" s="225" t="str">
        <f t="shared" si="2"/>
        <v>FY 2017-18 Year-to-Date Average</v>
      </c>
      <c r="B58" s="5">
        <v>0</v>
      </c>
      <c r="C58" s="5">
        <v>0</v>
      </c>
      <c r="D58" s="5">
        <v>0</v>
      </c>
      <c r="E58" s="5">
        <v>0</v>
      </c>
      <c r="F58" s="5">
        <v>1</v>
      </c>
      <c r="G58" s="5">
        <v>0</v>
      </c>
      <c r="H58" s="5">
        <v>0</v>
      </c>
      <c r="I58" s="5">
        <v>0</v>
      </c>
      <c r="J58" s="5">
        <v>0</v>
      </c>
      <c r="K58" s="5">
        <v>0</v>
      </c>
      <c r="L58" s="5">
        <v>0</v>
      </c>
      <c r="M58" s="5">
        <v>0</v>
      </c>
      <c r="N58" s="5">
        <v>0</v>
      </c>
      <c r="O58" s="5">
        <v>0</v>
      </c>
      <c r="P58" s="5">
        <v>0</v>
      </c>
      <c r="Q58" s="226">
        <v>1</v>
      </c>
      <c r="R58" s="56"/>
      <c r="S58" s="5"/>
      <c r="T58" s="278"/>
    </row>
    <row r="59" spans="1:20" ht="16.5" thickBot="1" x14ac:dyDescent="0.25">
      <c r="A59" s="382" t="s">
        <v>194</v>
      </c>
      <c r="B59" s="383"/>
      <c r="C59" s="383"/>
      <c r="D59" s="383"/>
      <c r="E59" s="383"/>
      <c r="F59" s="383"/>
      <c r="G59" s="383"/>
      <c r="H59" s="383"/>
      <c r="I59" s="383"/>
      <c r="J59" s="383"/>
      <c r="K59" s="383"/>
      <c r="L59" s="383"/>
      <c r="M59" s="383"/>
      <c r="N59" s="383"/>
      <c r="O59" s="383"/>
      <c r="P59" s="383"/>
      <c r="Q59" s="384"/>
      <c r="R59" s="324"/>
    </row>
    <row r="60" spans="1:20" ht="15.75" x14ac:dyDescent="0.2">
      <c r="A60" s="223">
        <f>A4</f>
        <v>42917</v>
      </c>
      <c r="B60" s="212">
        <v>2007</v>
      </c>
      <c r="C60" s="212">
        <v>757</v>
      </c>
      <c r="D60" s="212">
        <v>3650</v>
      </c>
      <c r="E60" s="212">
        <v>186</v>
      </c>
      <c r="F60" s="212">
        <v>11753</v>
      </c>
      <c r="G60" s="212">
        <v>4696</v>
      </c>
      <c r="H60" s="212">
        <v>24312</v>
      </c>
      <c r="I60" s="212">
        <v>9</v>
      </c>
      <c r="J60" s="212">
        <v>35668</v>
      </c>
      <c r="K60" s="212">
        <v>4735</v>
      </c>
      <c r="L60" s="212">
        <v>226</v>
      </c>
      <c r="M60" s="212">
        <v>606</v>
      </c>
      <c r="N60" s="212">
        <v>89</v>
      </c>
      <c r="O60" s="212">
        <v>0</v>
      </c>
      <c r="P60" s="212">
        <v>0</v>
      </c>
      <c r="Q60" s="224">
        <v>88694</v>
      </c>
      <c r="R60" s="56"/>
      <c r="S60" s="278"/>
      <c r="T60" s="278"/>
    </row>
    <row r="61" spans="1:20" ht="15.75" x14ac:dyDescent="0.2">
      <c r="A61" s="217">
        <f t="shared" ref="A61:A72" si="3">A5</f>
        <v>42948</v>
      </c>
      <c r="B61" s="3">
        <v>1980</v>
      </c>
      <c r="C61" s="3">
        <v>762</v>
      </c>
      <c r="D61" s="3">
        <v>3642</v>
      </c>
      <c r="E61" s="3">
        <v>196</v>
      </c>
      <c r="F61" s="3">
        <v>11787</v>
      </c>
      <c r="G61" s="3">
        <v>4921</v>
      </c>
      <c r="H61" s="3">
        <v>25412</v>
      </c>
      <c r="I61" s="3">
        <v>8</v>
      </c>
      <c r="J61" s="3">
        <v>35482</v>
      </c>
      <c r="K61" s="3">
        <v>4881</v>
      </c>
      <c r="L61" s="3">
        <v>222</v>
      </c>
      <c r="M61" s="3">
        <v>599</v>
      </c>
      <c r="N61" s="3">
        <v>82</v>
      </c>
      <c r="O61" s="3">
        <v>0</v>
      </c>
      <c r="P61" s="3">
        <v>0</v>
      </c>
      <c r="Q61" s="218">
        <v>89974</v>
      </c>
      <c r="R61" s="56"/>
      <c r="S61" s="278"/>
      <c r="T61" s="278"/>
    </row>
    <row r="62" spans="1:20" ht="15.75" x14ac:dyDescent="0.2">
      <c r="A62" s="217">
        <f t="shared" si="3"/>
        <v>42979</v>
      </c>
      <c r="B62" s="3">
        <v>1951</v>
      </c>
      <c r="C62" s="3">
        <v>752</v>
      </c>
      <c r="D62" s="3">
        <v>3588</v>
      </c>
      <c r="E62" s="3">
        <v>190</v>
      </c>
      <c r="F62" s="3">
        <v>11602</v>
      </c>
      <c r="G62" s="3">
        <v>4755</v>
      </c>
      <c r="H62" s="3">
        <v>25882</v>
      </c>
      <c r="I62" s="3">
        <v>7</v>
      </c>
      <c r="J62" s="3">
        <v>34801</v>
      </c>
      <c r="K62" s="3">
        <v>4738</v>
      </c>
      <c r="L62" s="3">
        <v>224</v>
      </c>
      <c r="M62" s="3">
        <v>627</v>
      </c>
      <c r="N62" s="3">
        <v>70</v>
      </c>
      <c r="O62" s="3">
        <v>0</v>
      </c>
      <c r="P62" s="3">
        <v>0</v>
      </c>
      <c r="Q62" s="218">
        <v>89187</v>
      </c>
      <c r="R62" s="56"/>
      <c r="S62" s="278"/>
      <c r="T62" s="278"/>
    </row>
    <row r="63" spans="1:20" ht="15.75" x14ac:dyDescent="0.2">
      <c r="A63" s="217">
        <f t="shared" si="3"/>
        <v>43009</v>
      </c>
      <c r="B63" s="3">
        <v>2536</v>
      </c>
      <c r="C63" s="3">
        <v>837</v>
      </c>
      <c r="D63" s="3">
        <v>3926</v>
      </c>
      <c r="E63" s="3">
        <v>220</v>
      </c>
      <c r="F63" s="3">
        <v>11451</v>
      </c>
      <c r="G63" s="3">
        <v>4118</v>
      </c>
      <c r="H63" s="3">
        <v>23958</v>
      </c>
      <c r="I63" s="3">
        <v>8</v>
      </c>
      <c r="J63" s="3">
        <v>33911</v>
      </c>
      <c r="K63" s="3">
        <v>4676</v>
      </c>
      <c r="L63" s="3">
        <v>235</v>
      </c>
      <c r="M63" s="3">
        <v>578</v>
      </c>
      <c r="N63" s="3">
        <v>96</v>
      </c>
      <c r="O63" s="3">
        <v>0</v>
      </c>
      <c r="P63" s="3">
        <v>0</v>
      </c>
      <c r="Q63" s="218">
        <v>86550</v>
      </c>
      <c r="R63" s="56"/>
    </row>
    <row r="64" spans="1:20" ht="15.75" x14ac:dyDescent="0.2">
      <c r="A64" s="217">
        <f t="shared" si="3"/>
        <v>43040</v>
      </c>
      <c r="B64" s="3">
        <v>2522</v>
      </c>
      <c r="C64" s="3">
        <v>848</v>
      </c>
      <c r="D64" s="3">
        <v>3913</v>
      </c>
      <c r="E64" s="3">
        <v>204</v>
      </c>
      <c r="F64" s="3">
        <v>11293</v>
      </c>
      <c r="G64" s="3">
        <v>3857</v>
      </c>
      <c r="H64" s="3">
        <v>23306</v>
      </c>
      <c r="I64" s="3">
        <v>8</v>
      </c>
      <c r="J64" s="3">
        <v>33214</v>
      </c>
      <c r="K64" s="3">
        <v>4639</v>
      </c>
      <c r="L64" s="3">
        <v>215</v>
      </c>
      <c r="M64" s="3">
        <v>539</v>
      </c>
      <c r="N64" s="3">
        <v>78</v>
      </c>
      <c r="O64" s="3">
        <v>0</v>
      </c>
      <c r="P64" s="3">
        <v>0</v>
      </c>
      <c r="Q64" s="218">
        <v>84636</v>
      </c>
      <c r="R64" s="56"/>
    </row>
    <row r="65" spans="1:20" ht="15.75" x14ac:dyDescent="0.2">
      <c r="A65" s="217">
        <f t="shared" si="3"/>
        <v>43070</v>
      </c>
      <c r="B65" s="3">
        <v>2492</v>
      </c>
      <c r="C65" s="3">
        <v>851</v>
      </c>
      <c r="D65" s="3">
        <v>3934</v>
      </c>
      <c r="E65" s="3">
        <v>246</v>
      </c>
      <c r="F65" s="3">
        <v>11459</v>
      </c>
      <c r="G65" s="3">
        <v>3939</v>
      </c>
      <c r="H65" s="3">
        <v>24350</v>
      </c>
      <c r="I65" s="3">
        <v>8</v>
      </c>
      <c r="J65" s="3">
        <v>33567</v>
      </c>
      <c r="K65" s="3">
        <v>4617</v>
      </c>
      <c r="L65" s="3">
        <v>212</v>
      </c>
      <c r="M65" s="3">
        <v>565</v>
      </c>
      <c r="N65" s="3">
        <v>86</v>
      </c>
      <c r="O65" s="3">
        <v>0</v>
      </c>
      <c r="P65" s="3">
        <v>0</v>
      </c>
      <c r="Q65" s="218">
        <v>86326</v>
      </c>
      <c r="R65" s="56"/>
    </row>
    <row r="66" spans="1:20" ht="15.75" x14ac:dyDescent="0.2">
      <c r="A66" s="217">
        <f t="shared" si="3"/>
        <v>43101</v>
      </c>
      <c r="B66" s="3">
        <v>2463</v>
      </c>
      <c r="C66" s="3">
        <v>853</v>
      </c>
      <c r="D66" s="3">
        <v>3940</v>
      </c>
      <c r="E66" s="3">
        <v>247</v>
      </c>
      <c r="F66" s="3">
        <v>11378</v>
      </c>
      <c r="G66" s="3">
        <v>3580</v>
      </c>
      <c r="H66" s="3">
        <v>23675</v>
      </c>
      <c r="I66" s="3">
        <v>9</v>
      </c>
      <c r="J66" s="3">
        <v>33165</v>
      </c>
      <c r="K66" s="3">
        <v>4443</v>
      </c>
      <c r="L66" s="3">
        <v>208</v>
      </c>
      <c r="M66" s="3">
        <v>538</v>
      </c>
      <c r="N66" s="3">
        <v>82</v>
      </c>
      <c r="O66" s="3">
        <v>0</v>
      </c>
      <c r="P66" s="3">
        <v>0</v>
      </c>
      <c r="Q66" s="218">
        <v>84581</v>
      </c>
      <c r="R66" s="56"/>
    </row>
    <row r="67" spans="1:20" ht="15.75" x14ac:dyDescent="0.2">
      <c r="A67" s="217">
        <f t="shared" si="3"/>
        <v>43132</v>
      </c>
      <c r="B67" s="3">
        <v>2436</v>
      </c>
      <c r="C67" s="3">
        <v>868</v>
      </c>
      <c r="D67" s="3">
        <v>3960</v>
      </c>
      <c r="E67" s="3">
        <v>273</v>
      </c>
      <c r="F67" s="3">
        <v>11444</v>
      </c>
      <c r="G67" s="3">
        <v>3677</v>
      </c>
      <c r="H67" s="3">
        <v>24454</v>
      </c>
      <c r="I67" s="3">
        <v>11</v>
      </c>
      <c r="J67" s="3">
        <v>32714</v>
      </c>
      <c r="K67" s="3">
        <v>4377</v>
      </c>
      <c r="L67" s="3">
        <v>208</v>
      </c>
      <c r="M67" s="3">
        <v>529</v>
      </c>
      <c r="N67" s="3">
        <v>84</v>
      </c>
      <c r="O67" s="3">
        <v>0</v>
      </c>
      <c r="P67" s="3">
        <v>0</v>
      </c>
      <c r="Q67" s="218">
        <v>85035</v>
      </c>
      <c r="R67" s="56"/>
    </row>
    <row r="68" spans="1:20" ht="15.75" x14ac:dyDescent="0.2">
      <c r="A68" s="217">
        <f t="shared" si="3"/>
        <v>43160</v>
      </c>
      <c r="B68" s="3">
        <v>2436</v>
      </c>
      <c r="C68" s="3">
        <v>875</v>
      </c>
      <c r="D68" s="3">
        <v>3996</v>
      </c>
      <c r="E68" s="3">
        <v>281</v>
      </c>
      <c r="F68" s="3">
        <v>11348</v>
      </c>
      <c r="G68" s="3">
        <v>4162</v>
      </c>
      <c r="H68" s="3">
        <v>25590</v>
      </c>
      <c r="I68" s="3">
        <v>11</v>
      </c>
      <c r="J68" s="3">
        <v>32780</v>
      </c>
      <c r="K68" s="3">
        <v>4401</v>
      </c>
      <c r="L68" s="3">
        <v>214</v>
      </c>
      <c r="M68" s="3">
        <v>578</v>
      </c>
      <c r="N68" s="3">
        <v>95</v>
      </c>
      <c r="O68" s="3">
        <v>0</v>
      </c>
      <c r="P68" s="3">
        <v>0</v>
      </c>
      <c r="Q68" s="218">
        <v>86767</v>
      </c>
      <c r="R68" s="56"/>
    </row>
    <row r="69" spans="1:20" ht="15.75" x14ac:dyDescent="0.2">
      <c r="A69" s="217">
        <f t="shared" si="3"/>
        <v>43191</v>
      </c>
      <c r="B69" s="3">
        <v>2359</v>
      </c>
      <c r="C69" s="3">
        <v>852</v>
      </c>
      <c r="D69" s="3">
        <v>3849</v>
      </c>
      <c r="E69" s="3">
        <v>273</v>
      </c>
      <c r="F69" s="3">
        <v>11042</v>
      </c>
      <c r="G69" s="3">
        <v>3899</v>
      </c>
      <c r="H69" s="3">
        <v>24337</v>
      </c>
      <c r="I69" s="3">
        <v>10</v>
      </c>
      <c r="J69" s="3">
        <v>31556</v>
      </c>
      <c r="K69" s="3">
        <v>3868</v>
      </c>
      <c r="L69" s="3">
        <v>203</v>
      </c>
      <c r="M69" s="3">
        <v>582</v>
      </c>
      <c r="N69" s="3">
        <v>80</v>
      </c>
      <c r="O69" s="3">
        <v>0</v>
      </c>
      <c r="P69" s="3">
        <v>0</v>
      </c>
      <c r="Q69" s="218">
        <v>82910</v>
      </c>
      <c r="R69" s="56"/>
    </row>
    <row r="70" spans="1:20" ht="15.75" x14ac:dyDescent="0.2">
      <c r="A70" s="217">
        <f t="shared" si="3"/>
        <v>43221</v>
      </c>
      <c r="B70" s="3"/>
      <c r="C70" s="3"/>
      <c r="D70" s="3"/>
      <c r="E70" s="3"/>
      <c r="F70" s="3"/>
      <c r="G70" s="3"/>
      <c r="H70" s="3"/>
      <c r="I70" s="3"/>
      <c r="J70" s="3"/>
      <c r="K70" s="3"/>
      <c r="L70" s="3"/>
      <c r="M70" s="3"/>
      <c r="N70" s="3"/>
      <c r="O70" s="3"/>
      <c r="P70" s="3"/>
      <c r="Q70" s="218"/>
      <c r="R70" s="56"/>
    </row>
    <row r="71" spans="1:20" ht="16.5" thickBot="1" x14ac:dyDescent="0.25">
      <c r="A71" s="273">
        <f t="shared" si="3"/>
        <v>43252</v>
      </c>
      <c r="B71" s="274"/>
      <c r="C71" s="274"/>
      <c r="D71" s="274"/>
      <c r="E71" s="274"/>
      <c r="F71" s="365"/>
      <c r="G71" s="365"/>
      <c r="H71" s="274"/>
      <c r="I71" s="274"/>
      <c r="J71" s="274"/>
      <c r="K71" s="274"/>
      <c r="L71" s="274"/>
      <c r="M71" s="274"/>
      <c r="N71" s="274"/>
      <c r="O71" s="274"/>
      <c r="P71" s="274"/>
      <c r="Q71" s="275"/>
      <c r="R71" s="56"/>
      <c r="T71" s="278"/>
    </row>
    <row r="72" spans="1:20" ht="17.25" thickTop="1" thickBot="1" x14ac:dyDescent="0.3">
      <c r="A72" s="225" t="str">
        <f t="shared" si="3"/>
        <v>FY 2017-18 Year-to-Date Average</v>
      </c>
      <c r="B72" s="5">
        <v>2318</v>
      </c>
      <c r="C72" s="5">
        <v>826</v>
      </c>
      <c r="D72" s="5">
        <v>3840</v>
      </c>
      <c r="E72" s="5">
        <v>232</v>
      </c>
      <c r="F72" s="5">
        <v>11456</v>
      </c>
      <c r="G72" s="5">
        <v>4160</v>
      </c>
      <c r="H72" s="5">
        <v>24527</v>
      </c>
      <c r="I72" s="5">
        <v>9</v>
      </c>
      <c r="J72" s="5">
        <v>33686</v>
      </c>
      <c r="K72" s="5">
        <v>4538</v>
      </c>
      <c r="L72" s="5">
        <v>217</v>
      </c>
      <c r="M72" s="5">
        <v>574</v>
      </c>
      <c r="N72" s="5">
        <v>84</v>
      </c>
      <c r="O72" s="5">
        <v>0</v>
      </c>
      <c r="P72" s="5">
        <v>0</v>
      </c>
      <c r="Q72" s="226">
        <v>86467</v>
      </c>
      <c r="R72" s="56"/>
      <c r="S72" s="5"/>
      <c r="T72" s="322"/>
    </row>
    <row r="73" spans="1:20" ht="19.5" thickBot="1" x14ac:dyDescent="0.25">
      <c r="A73" s="382" t="s">
        <v>333</v>
      </c>
      <c r="B73" s="383"/>
      <c r="C73" s="383"/>
      <c r="D73" s="383"/>
      <c r="E73" s="383"/>
      <c r="F73" s="383"/>
      <c r="G73" s="383"/>
      <c r="H73" s="383"/>
      <c r="I73" s="383"/>
      <c r="J73" s="383"/>
      <c r="K73" s="383"/>
      <c r="L73" s="383"/>
      <c r="M73" s="383"/>
      <c r="N73" s="383"/>
      <c r="O73" s="383"/>
      <c r="P73" s="383"/>
      <c r="Q73" s="384"/>
      <c r="R73" s="324"/>
    </row>
    <row r="74" spans="1:20" ht="15.75" x14ac:dyDescent="0.2">
      <c r="A74" s="223">
        <f>A4</f>
        <v>42917</v>
      </c>
      <c r="B74" s="212">
        <v>2972</v>
      </c>
      <c r="C74" s="212">
        <v>389</v>
      </c>
      <c r="D74" s="212">
        <v>202</v>
      </c>
      <c r="E74" s="212">
        <v>0</v>
      </c>
      <c r="F74" s="212">
        <v>0</v>
      </c>
      <c r="G74" s="212">
        <v>0</v>
      </c>
      <c r="H74" s="212">
        <v>0</v>
      </c>
      <c r="I74" s="212">
        <v>0</v>
      </c>
      <c r="J74" s="212">
        <v>0</v>
      </c>
      <c r="K74" s="212">
        <v>0</v>
      </c>
      <c r="L74" s="212">
        <v>0</v>
      </c>
      <c r="M74" s="212">
        <v>0</v>
      </c>
      <c r="N74" s="212">
        <v>0</v>
      </c>
      <c r="O74" s="212">
        <v>0</v>
      </c>
      <c r="P74" s="212">
        <v>0</v>
      </c>
      <c r="Q74" s="224">
        <v>3563</v>
      </c>
      <c r="R74" s="56"/>
    </row>
    <row r="75" spans="1:20" ht="15.75" x14ac:dyDescent="0.2">
      <c r="A75" s="217">
        <f t="shared" ref="A75:A86" si="4">A5</f>
        <v>42948</v>
      </c>
      <c r="B75" s="3">
        <v>2992</v>
      </c>
      <c r="C75" s="3">
        <v>395</v>
      </c>
      <c r="D75" s="3">
        <v>202</v>
      </c>
      <c r="E75" s="3">
        <v>0</v>
      </c>
      <c r="F75" s="3">
        <v>0</v>
      </c>
      <c r="G75" s="3">
        <v>0</v>
      </c>
      <c r="H75" s="3">
        <v>0</v>
      </c>
      <c r="I75" s="3">
        <v>0</v>
      </c>
      <c r="J75" s="3">
        <v>0</v>
      </c>
      <c r="K75" s="3">
        <v>0</v>
      </c>
      <c r="L75" s="3">
        <v>0</v>
      </c>
      <c r="M75" s="3">
        <v>0</v>
      </c>
      <c r="N75" s="3">
        <v>0</v>
      </c>
      <c r="O75" s="3">
        <v>0</v>
      </c>
      <c r="P75" s="3">
        <v>0</v>
      </c>
      <c r="Q75" s="218">
        <v>3589</v>
      </c>
      <c r="R75" s="56"/>
    </row>
    <row r="76" spans="1:20" ht="15.75" x14ac:dyDescent="0.2">
      <c r="A76" s="217">
        <f t="shared" si="4"/>
        <v>42979</v>
      </c>
      <c r="B76" s="3">
        <v>2996</v>
      </c>
      <c r="C76" s="3">
        <v>403</v>
      </c>
      <c r="D76" s="3">
        <v>200</v>
      </c>
      <c r="E76" s="3">
        <v>0</v>
      </c>
      <c r="F76" s="3">
        <v>0</v>
      </c>
      <c r="G76" s="3">
        <v>0</v>
      </c>
      <c r="H76" s="3">
        <v>0</v>
      </c>
      <c r="I76" s="3">
        <v>0</v>
      </c>
      <c r="J76" s="3">
        <v>0</v>
      </c>
      <c r="K76" s="3">
        <v>0</v>
      </c>
      <c r="L76" s="3">
        <v>0</v>
      </c>
      <c r="M76" s="3">
        <v>0</v>
      </c>
      <c r="N76" s="3">
        <v>0</v>
      </c>
      <c r="O76" s="3">
        <v>0</v>
      </c>
      <c r="P76" s="3">
        <v>0</v>
      </c>
      <c r="Q76" s="218">
        <v>3599</v>
      </c>
      <c r="R76" s="56"/>
    </row>
    <row r="77" spans="1:20" ht="15.75" x14ac:dyDescent="0.2">
      <c r="A77" s="217">
        <f t="shared" si="4"/>
        <v>43009</v>
      </c>
      <c r="B77" s="3">
        <v>2986</v>
      </c>
      <c r="C77" s="3">
        <v>395</v>
      </c>
      <c r="D77" s="3">
        <v>198</v>
      </c>
      <c r="E77" s="3">
        <v>0</v>
      </c>
      <c r="F77" s="3">
        <v>0</v>
      </c>
      <c r="G77" s="3">
        <v>0</v>
      </c>
      <c r="H77" s="3">
        <v>0</v>
      </c>
      <c r="I77" s="3">
        <v>0</v>
      </c>
      <c r="J77" s="3">
        <v>0</v>
      </c>
      <c r="K77" s="3">
        <v>0</v>
      </c>
      <c r="L77" s="3">
        <v>0</v>
      </c>
      <c r="M77" s="3">
        <v>0</v>
      </c>
      <c r="N77" s="3">
        <v>0</v>
      </c>
      <c r="O77" s="3">
        <v>0</v>
      </c>
      <c r="P77" s="3">
        <v>0</v>
      </c>
      <c r="Q77" s="218">
        <v>3579</v>
      </c>
      <c r="R77" s="56"/>
    </row>
    <row r="78" spans="1:20" ht="15.75" x14ac:dyDescent="0.2">
      <c r="A78" s="217">
        <f t="shared" si="4"/>
        <v>43040</v>
      </c>
      <c r="B78" s="3">
        <v>3029</v>
      </c>
      <c r="C78" s="3">
        <v>407</v>
      </c>
      <c r="D78" s="3">
        <v>200</v>
      </c>
      <c r="E78" s="3">
        <v>0</v>
      </c>
      <c r="F78" s="3">
        <v>0</v>
      </c>
      <c r="G78" s="3">
        <v>0</v>
      </c>
      <c r="H78" s="3">
        <v>0</v>
      </c>
      <c r="I78" s="3">
        <v>0</v>
      </c>
      <c r="J78" s="3">
        <v>0</v>
      </c>
      <c r="K78" s="3">
        <v>0</v>
      </c>
      <c r="L78" s="3">
        <v>0</v>
      </c>
      <c r="M78" s="3">
        <v>0</v>
      </c>
      <c r="N78" s="3">
        <v>0</v>
      </c>
      <c r="O78" s="3">
        <v>0</v>
      </c>
      <c r="P78" s="3">
        <v>0</v>
      </c>
      <c r="Q78" s="218">
        <v>3636</v>
      </c>
      <c r="R78" s="56"/>
    </row>
    <row r="79" spans="1:20" ht="15.75" x14ac:dyDescent="0.2">
      <c r="A79" s="217">
        <f t="shared" si="4"/>
        <v>43070</v>
      </c>
      <c r="B79" s="3">
        <v>3064</v>
      </c>
      <c r="C79" s="3">
        <v>418</v>
      </c>
      <c r="D79" s="3">
        <v>199</v>
      </c>
      <c r="E79" s="3">
        <v>0</v>
      </c>
      <c r="F79" s="3">
        <v>0</v>
      </c>
      <c r="G79" s="3">
        <v>0</v>
      </c>
      <c r="H79" s="3">
        <v>0</v>
      </c>
      <c r="I79" s="3">
        <v>0</v>
      </c>
      <c r="J79" s="3">
        <v>0</v>
      </c>
      <c r="K79" s="3">
        <v>0</v>
      </c>
      <c r="L79" s="3">
        <v>0</v>
      </c>
      <c r="M79" s="3">
        <v>0</v>
      </c>
      <c r="N79" s="3">
        <v>0</v>
      </c>
      <c r="O79" s="3">
        <v>0</v>
      </c>
      <c r="P79" s="3">
        <v>0</v>
      </c>
      <c r="Q79" s="218">
        <v>3681</v>
      </c>
      <c r="R79" s="56"/>
    </row>
    <row r="80" spans="1:20" ht="15.75" x14ac:dyDescent="0.2">
      <c r="A80" s="217">
        <f t="shared" si="4"/>
        <v>43101</v>
      </c>
      <c r="B80" s="3">
        <v>3054</v>
      </c>
      <c r="C80" s="3">
        <v>416</v>
      </c>
      <c r="D80" s="3">
        <v>196</v>
      </c>
      <c r="E80" s="3">
        <v>0</v>
      </c>
      <c r="F80" s="3">
        <v>0</v>
      </c>
      <c r="G80" s="3">
        <v>0</v>
      </c>
      <c r="H80" s="3">
        <v>0</v>
      </c>
      <c r="I80" s="3">
        <v>0</v>
      </c>
      <c r="J80" s="3">
        <v>0</v>
      </c>
      <c r="K80" s="3">
        <v>0</v>
      </c>
      <c r="L80" s="3">
        <v>0</v>
      </c>
      <c r="M80" s="3">
        <v>0</v>
      </c>
      <c r="N80" s="3">
        <v>0</v>
      </c>
      <c r="O80" s="3">
        <v>0</v>
      </c>
      <c r="P80" s="3">
        <v>0</v>
      </c>
      <c r="Q80" s="218">
        <v>3666</v>
      </c>
      <c r="R80" s="56"/>
    </row>
    <row r="81" spans="1:20" ht="15.75" x14ac:dyDescent="0.2">
      <c r="A81" s="217">
        <f t="shared" si="4"/>
        <v>43132</v>
      </c>
      <c r="B81" s="3">
        <v>3029</v>
      </c>
      <c r="C81" s="3">
        <v>413</v>
      </c>
      <c r="D81" s="3">
        <v>192</v>
      </c>
      <c r="E81" s="3">
        <v>0</v>
      </c>
      <c r="F81" s="3">
        <v>0</v>
      </c>
      <c r="G81" s="3">
        <v>0</v>
      </c>
      <c r="H81" s="3">
        <v>0</v>
      </c>
      <c r="I81" s="3">
        <v>0</v>
      </c>
      <c r="J81" s="3">
        <v>0</v>
      </c>
      <c r="K81" s="3">
        <v>0</v>
      </c>
      <c r="L81" s="3">
        <v>0</v>
      </c>
      <c r="M81" s="3">
        <v>0</v>
      </c>
      <c r="N81" s="3">
        <v>0</v>
      </c>
      <c r="O81" s="3">
        <v>0</v>
      </c>
      <c r="P81" s="3">
        <v>0</v>
      </c>
      <c r="Q81" s="218">
        <v>3634</v>
      </c>
      <c r="R81" s="56"/>
    </row>
    <row r="82" spans="1:20" ht="15.75" x14ac:dyDescent="0.2">
      <c r="A82" s="217">
        <f t="shared" si="4"/>
        <v>43160</v>
      </c>
      <c r="B82" s="3">
        <v>3018</v>
      </c>
      <c r="C82" s="3">
        <v>406</v>
      </c>
      <c r="D82" s="3">
        <v>182</v>
      </c>
      <c r="E82" s="3">
        <v>0</v>
      </c>
      <c r="F82" s="3">
        <v>0</v>
      </c>
      <c r="G82" s="3">
        <v>0</v>
      </c>
      <c r="H82" s="3">
        <v>0</v>
      </c>
      <c r="I82" s="3">
        <v>0</v>
      </c>
      <c r="J82" s="3">
        <v>0</v>
      </c>
      <c r="K82" s="3">
        <v>0</v>
      </c>
      <c r="L82" s="3">
        <v>0</v>
      </c>
      <c r="M82" s="3">
        <v>0</v>
      </c>
      <c r="N82" s="3">
        <v>0</v>
      </c>
      <c r="O82" s="3">
        <v>0</v>
      </c>
      <c r="P82" s="3">
        <v>0</v>
      </c>
      <c r="Q82" s="218">
        <v>3606</v>
      </c>
      <c r="R82" s="56"/>
    </row>
    <row r="83" spans="1:20" ht="15.75" x14ac:dyDescent="0.2">
      <c r="A83" s="217">
        <f t="shared" si="4"/>
        <v>43191</v>
      </c>
      <c r="B83" s="3">
        <v>3079</v>
      </c>
      <c r="C83" s="3">
        <v>430</v>
      </c>
      <c r="D83" s="3">
        <v>191</v>
      </c>
      <c r="E83" s="3">
        <v>0</v>
      </c>
      <c r="F83" s="3">
        <v>0</v>
      </c>
      <c r="G83" s="3">
        <v>0</v>
      </c>
      <c r="H83" s="3">
        <v>0</v>
      </c>
      <c r="I83" s="3">
        <v>0</v>
      </c>
      <c r="J83" s="3">
        <v>0</v>
      </c>
      <c r="K83" s="3">
        <v>0</v>
      </c>
      <c r="L83" s="3">
        <v>0</v>
      </c>
      <c r="M83" s="3">
        <v>0</v>
      </c>
      <c r="N83" s="3">
        <v>0</v>
      </c>
      <c r="O83" s="3">
        <v>0</v>
      </c>
      <c r="P83" s="3">
        <v>0</v>
      </c>
      <c r="Q83" s="218">
        <v>3700</v>
      </c>
      <c r="R83" s="56"/>
    </row>
    <row r="84" spans="1:20" ht="15.75" x14ac:dyDescent="0.2">
      <c r="A84" s="217">
        <f t="shared" si="4"/>
        <v>43221</v>
      </c>
      <c r="B84" s="579"/>
      <c r="C84" s="579"/>
      <c r="D84" s="579"/>
      <c r="E84" s="579"/>
      <c r="F84" s="579"/>
      <c r="G84" s="579"/>
      <c r="H84" s="579"/>
      <c r="I84" s="579"/>
      <c r="J84" s="579"/>
      <c r="K84" s="579"/>
      <c r="L84" s="579"/>
      <c r="M84" s="579"/>
      <c r="N84" s="579"/>
      <c r="O84" s="579"/>
      <c r="P84" s="579"/>
      <c r="Q84" s="581"/>
      <c r="R84" s="56"/>
    </row>
    <row r="85" spans="1:20" ht="16.5" thickBot="1" x14ac:dyDescent="0.25">
      <c r="A85" s="273">
        <f t="shared" si="4"/>
        <v>43252</v>
      </c>
      <c r="B85" s="603"/>
      <c r="C85" s="603"/>
      <c r="D85" s="603"/>
      <c r="E85" s="603"/>
      <c r="F85" s="603"/>
      <c r="G85" s="603"/>
      <c r="H85" s="603"/>
      <c r="I85" s="603"/>
      <c r="J85" s="603"/>
      <c r="K85" s="603"/>
      <c r="L85" s="603"/>
      <c r="M85" s="603"/>
      <c r="N85" s="603"/>
      <c r="O85" s="603"/>
      <c r="P85" s="603"/>
      <c r="Q85" s="604"/>
      <c r="R85" s="56"/>
      <c r="S85" s="278"/>
      <c r="T85" s="278"/>
    </row>
    <row r="86" spans="1:20" ht="17.25" thickTop="1" thickBot="1" x14ac:dyDescent="0.3">
      <c r="A86" s="225" t="str">
        <f t="shared" si="4"/>
        <v>FY 2017-18 Year-to-Date Average</v>
      </c>
      <c r="B86" s="5">
        <v>3022</v>
      </c>
      <c r="C86" s="5">
        <v>407</v>
      </c>
      <c r="D86" s="5">
        <v>196</v>
      </c>
      <c r="E86" s="5">
        <v>0</v>
      </c>
      <c r="F86" s="5">
        <v>0</v>
      </c>
      <c r="G86" s="5">
        <v>0</v>
      </c>
      <c r="H86" s="5">
        <v>0</v>
      </c>
      <c r="I86" s="5">
        <v>0</v>
      </c>
      <c r="J86" s="5">
        <v>0</v>
      </c>
      <c r="K86" s="5">
        <v>0</v>
      </c>
      <c r="L86" s="5">
        <v>0</v>
      </c>
      <c r="M86" s="5">
        <v>0</v>
      </c>
      <c r="N86" s="5">
        <v>0</v>
      </c>
      <c r="O86" s="5">
        <v>0</v>
      </c>
      <c r="P86" s="5">
        <v>0</v>
      </c>
      <c r="Q86" s="226">
        <v>3625</v>
      </c>
      <c r="R86" s="56"/>
      <c r="S86" s="5"/>
    </row>
    <row r="87" spans="1:20" ht="62.25" hidden="1" customHeight="1" thickBot="1" x14ac:dyDescent="0.25">
      <c r="A87" s="270"/>
      <c r="B87" s="271" t="s">
        <v>150</v>
      </c>
      <c r="C87" s="271" t="s">
        <v>151</v>
      </c>
      <c r="D87" s="271" t="s">
        <v>152</v>
      </c>
      <c r="E87" s="271" t="s">
        <v>103</v>
      </c>
      <c r="F87" s="271" t="s">
        <v>153</v>
      </c>
      <c r="G87" s="271" t="s">
        <v>154</v>
      </c>
      <c r="H87" s="271" t="s">
        <v>155</v>
      </c>
      <c r="I87" s="271" t="s">
        <v>19</v>
      </c>
      <c r="J87" s="271" t="s">
        <v>160</v>
      </c>
      <c r="K87" s="271" t="s">
        <v>156</v>
      </c>
      <c r="L87" s="271" t="s">
        <v>20</v>
      </c>
      <c r="M87" s="271" t="s">
        <v>157</v>
      </c>
      <c r="N87" s="271" t="s">
        <v>158</v>
      </c>
      <c r="O87" s="271" t="s">
        <v>159</v>
      </c>
      <c r="P87" s="271" t="s">
        <v>32</v>
      </c>
      <c r="Q87" s="272" t="s">
        <v>0</v>
      </c>
      <c r="R87" s="323"/>
    </row>
    <row r="88" spans="1:20" ht="19.5" thickBot="1" x14ac:dyDescent="0.25">
      <c r="A88" s="382" t="s">
        <v>332</v>
      </c>
      <c r="B88" s="383"/>
      <c r="C88" s="383"/>
      <c r="D88" s="383"/>
      <c r="E88" s="383"/>
      <c r="F88" s="383"/>
      <c r="G88" s="383"/>
      <c r="H88" s="383"/>
      <c r="I88" s="383"/>
      <c r="J88" s="383"/>
      <c r="K88" s="383"/>
      <c r="L88" s="383"/>
      <c r="M88" s="383"/>
      <c r="N88" s="383"/>
      <c r="O88" s="383"/>
      <c r="P88" s="383"/>
      <c r="Q88" s="384"/>
      <c r="R88" s="324"/>
    </row>
    <row r="89" spans="1:20" ht="15.75" x14ac:dyDescent="0.2">
      <c r="A89" s="223">
        <f>A4</f>
        <v>42917</v>
      </c>
      <c r="B89" s="212">
        <v>25961</v>
      </c>
      <c r="C89" s="212">
        <v>8308</v>
      </c>
      <c r="D89" s="212">
        <v>53727</v>
      </c>
      <c r="E89" s="212">
        <v>4373</v>
      </c>
      <c r="F89" s="212">
        <v>142783</v>
      </c>
      <c r="G89" s="212">
        <v>58224</v>
      </c>
      <c r="H89" s="212">
        <v>294901</v>
      </c>
      <c r="I89" s="212">
        <v>79</v>
      </c>
      <c r="J89" s="212">
        <v>367067</v>
      </c>
      <c r="K89" s="212">
        <v>50403</v>
      </c>
      <c r="L89" s="212">
        <v>18825</v>
      </c>
      <c r="M89" s="212">
        <v>7804</v>
      </c>
      <c r="N89" s="212">
        <v>1335</v>
      </c>
      <c r="O89" s="212">
        <v>0</v>
      </c>
      <c r="P89" s="212">
        <v>0</v>
      </c>
      <c r="Q89" s="224">
        <v>1033790</v>
      </c>
      <c r="R89" s="56"/>
    </row>
    <row r="90" spans="1:20" ht="15.75" x14ac:dyDescent="0.2">
      <c r="A90" s="217">
        <f t="shared" ref="A90:A101" si="5">A5</f>
        <v>42948</v>
      </c>
      <c r="B90" s="3">
        <v>26293</v>
      </c>
      <c r="C90" s="3">
        <v>8455</v>
      </c>
      <c r="D90" s="3">
        <v>54489</v>
      </c>
      <c r="E90" s="3">
        <v>4586</v>
      </c>
      <c r="F90" s="3">
        <v>147503</v>
      </c>
      <c r="G90" s="3">
        <v>63458</v>
      </c>
      <c r="H90" s="3">
        <v>305205</v>
      </c>
      <c r="I90" s="3">
        <v>77</v>
      </c>
      <c r="J90" s="3">
        <v>376013</v>
      </c>
      <c r="K90" s="3">
        <v>53119</v>
      </c>
      <c r="L90" s="3">
        <v>19364</v>
      </c>
      <c r="M90" s="3">
        <v>7543</v>
      </c>
      <c r="N90" s="3">
        <v>1389</v>
      </c>
      <c r="O90" s="3">
        <v>1</v>
      </c>
      <c r="P90" s="3">
        <v>0</v>
      </c>
      <c r="Q90" s="218">
        <v>1067495</v>
      </c>
      <c r="R90" s="56"/>
    </row>
    <row r="91" spans="1:20" ht="15.75" x14ac:dyDescent="0.2">
      <c r="A91" s="217">
        <f t="shared" si="5"/>
        <v>42979</v>
      </c>
      <c r="B91" s="3">
        <v>26353</v>
      </c>
      <c r="C91" s="3">
        <v>8395</v>
      </c>
      <c r="D91" s="3">
        <v>54163</v>
      </c>
      <c r="E91" s="3">
        <v>4624</v>
      </c>
      <c r="F91" s="3">
        <v>145592</v>
      </c>
      <c r="G91" s="3">
        <v>62565</v>
      </c>
      <c r="H91" s="3">
        <v>305795</v>
      </c>
      <c r="I91" s="3">
        <v>74</v>
      </c>
      <c r="J91" s="3">
        <v>367810</v>
      </c>
      <c r="K91" s="3">
        <v>52418</v>
      </c>
      <c r="L91" s="3">
        <v>19419</v>
      </c>
      <c r="M91" s="3">
        <v>6868</v>
      </c>
      <c r="N91" s="3">
        <v>1366</v>
      </c>
      <c r="O91" s="3">
        <v>2</v>
      </c>
      <c r="P91" s="3">
        <v>0</v>
      </c>
      <c r="Q91" s="218">
        <v>1055444</v>
      </c>
      <c r="R91" s="56"/>
    </row>
    <row r="92" spans="1:20" ht="15.75" x14ac:dyDescent="0.2">
      <c r="A92" s="217">
        <f t="shared" si="5"/>
        <v>43009</v>
      </c>
      <c r="B92" s="3">
        <v>26146</v>
      </c>
      <c r="C92" s="3">
        <v>8394</v>
      </c>
      <c r="D92" s="3">
        <v>53846</v>
      </c>
      <c r="E92" s="3">
        <v>4769</v>
      </c>
      <c r="F92" s="3">
        <v>143011</v>
      </c>
      <c r="G92" s="3">
        <v>54992</v>
      </c>
      <c r="H92" s="3">
        <v>282482</v>
      </c>
      <c r="I92" s="3">
        <v>82</v>
      </c>
      <c r="J92" s="3">
        <v>356280</v>
      </c>
      <c r="K92" s="3">
        <v>51717</v>
      </c>
      <c r="L92" s="3">
        <v>19562</v>
      </c>
      <c r="M92" s="3">
        <v>6597</v>
      </c>
      <c r="N92" s="3">
        <v>1419</v>
      </c>
      <c r="O92" s="3">
        <v>2</v>
      </c>
      <c r="P92" s="3">
        <v>0</v>
      </c>
      <c r="Q92" s="218">
        <v>1009299</v>
      </c>
      <c r="R92" s="56"/>
    </row>
    <row r="93" spans="1:20" ht="15.75" x14ac:dyDescent="0.2">
      <c r="A93" s="217">
        <f t="shared" si="5"/>
        <v>43040</v>
      </c>
      <c r="B93" s="3">
        <v>26260</v>
      </c>
      <c r="C93" s="3">
        <v>8421</v>
      </c>
      <c r="D93" s="3">
        <v>53686</v>
      </c>
      <c r="E93" s="3">
        <v>4885</v>
      </c>
      <c r="F93" s="3">
        <v>141916</v>
      </c>
      <c r="G93" s="3">
        <v>51894</v>
      </c>
      <c r="H93" s="3">
        <v>277060</v>
      </c>
      <c r="I93" s="3">
        <v>88</v>
      </c>
      <c r="J93" s="3">
        <v>349908</v>
      </c>
      <c r="K93" s="3">
        <v>50725</v>
      </c>
      <c r="L93" s="3">
        <v>19679</v>
      </c>
      <c r="M93" s="3">
        <v>6212</v>
      </c>
      <c r="N93" s="3">
        <v>1410</v>
      </c>
      <c r="O93" s="3">
        <v>1</v>
      </c>
      <c r="P93" s="3">
        <v>0</v>
      </c>
      <c r="Q93" s="218">
        <v>992145</v>
      </c>
      <c r="R93" s="56"/>
    </row>
    <row r="94" spans="1:20" ht="15.75" x14ac:dyDescent="0.2">
      <c r="A94" s="217">
        <f t="shared" si="5"/>
        <v>43070</v>
      </c>
      <c r="B94" s="3">
        <v>26458</v>
      </c>
      <c r="C94" s="3">
        <v>8512</v>
      </c>
      <c r="D94" s="3">
        <v>54356</v>
      </c>
      <c r="E94" s="3">
        <v>5165</v>
      </c>
      <c r="F94" s="3">
        <v>143981</v>
      </c>
      <c r="G94" s="3">
        <v>54114</v>
      </c>
      <c r="H94" s="3">
        <v>278067</v>
      </c>
      <c r="I94" s="3">
        <v>88</v>
      </c>
      <c r="J94" s="3">
        <v>357050</v>
      </c>
      <c r="K94" s="3">
        <v>51943</v>
      </c>
      <c r="L94" s="3">
        <v>19917</v>
      </c>
      <c r="M94" s="3">
        <v>6051</v>
      </c>
      <c r="N94" s="3">
        <v>1448</v>
      </c>
      <c r="O94" s="3">
        <v>0</v>
      </c>
      <c r="P94" s="3">
        <v>0</v>
      </c>
      <c r="Q94" s="218">
        <v>1007150</v>
      </c>
      <c r="R94" s="56"/>
    </row>
    <row r="95" spans="1:20" ht="15.75" x14ac:dyDescent="0.2">
      <c r="A95" s="217">
        <f t="shared" si="5"/>
        <v>43101</v>
      </c>
      <c r="B95" s="3">
        <v>26460</v>
      </c>
      <c r="C95" s="3">
        <v>8559</v>
      </c>
      <c r="D95" s="3">
        <v>54530</v>
      </c>
      <c r="E95" s="3">
        <v>5355</v>
      </c>
      <c r="F95" s="3">
        <v>144412</v>
      </c>
      <c r="G95" s="3">
        <v>50839</v>
      </c>
      <c r="H95" s="3">
        <v>267255</v>
      </c>
      <c r="I95" s="3">
        <v>94</v>
      </c>
      <c r="J95" s="3">
        <v>354956</v>
      </c>
      <c r="K95" s="3">
        <v>51613</v>
      </c>
      <c r="L95" s="3">
        <v>19981</v>
      </c>
      <c r="M95" s="3">
        <v>6139</v>
      </c>
      <c r="N95" s="3">
        <v>1469</v>
      </c>
      <c r="O95" s="3">
        <v>0</v>
      </c>
      <c r="P95" s="3">
        <v>0</v>
      </c>
      <c r="Q95" s="218">
        <v>991662</v>
      </c>
      <c r="R95" s="56"/>
    </row>
    <row r="96" spans="1:20" ht="15.75" x14ac:dyDescent="0.2">
      <c r="A96" s="217">
        <f t="shared" si="5"/>
        <v>43132</v>
      </c>
      <c r="B96" s="3">
        <v>26309</v>
      </c>
      <c r="C96" s="3">
        <v>8571</v>
      </c>
      <c r="D96" s="3">
        <v>54714</v>
      </c>
      <c r="E96" s="3">
        <v>5571</v>
      </c>
      <c r="F96" s="3">
        <v>144723</v>
      </c>
      <c r="G96" s="3">
        <v>51465</v>
      </c>
      <c r="H96" s="3">
        <v>267608</v>
      </c>
      <c r="I96" s="3">
        <v>98</v>
      </c>
      <c r="J96" s="3">
        <v>349320</v>
      </c>
      <c r="K96" s="3">
        <v>49784</v>
      </c>
      <c r="L96" s="3">
        <v>20121</v>
      </c>
      <c r="M96" s="3">
        <v>5830</v>
      </c>
      <c r="N96" s="3">
        <v>1423</v>
      </c>
      <c r="O96" s="3">
        <v>1</v>
      </c>
      <c r="P96" s="3">
        <v>0</v>
      </c>
      <c r="Q96" s="218">
        <v>985538</v>
      </c>
      <c r="R96" s="56"/>
    </row>
    <row r="97" spans="1:20" ht="15.75" x14ac:dyDescent="0.2">
      <c r="A97" s="217">
        <f t="shared" si="5"/>
        <v>43160</v>
      </c>
      <c r="B97" s="3">
        <v>26315</v>
      </c>
      <c r="C97" s="3">
        <v>8669</v>
      </c>
      <c r="D97" s="3">
        <v>54692</v>
      </c>
      <c r="E97" s="3">
        <v>5589</v>
      </c>
      <c r="F97" s="3">
        <v>142159</v>
      </c>
      <c r="G97" s="3">
        <v>55721</v>
      </c>
      <c r="H97" s="3">
        <v>271233</v>
      </c>
      <c r="I97" s="3">
        <v>100</v>
      </c>
      <c r="J97" s="3">
        <v>346986</v>
      </c>
      <c r="K97" s="3">
        <v>48904</v>
      </c>
      <c r="L97" s="3">
        <v>20369</v>
      </c>
      <c r="M97" s="3">
        <v>5948</v>
      </c>
      <c r="N97" s="3">
        <v>1395</v>
      </c>
      <c r="O97" s="3">
        <v>1</v>
      </c>
      <c r="P97" s="3">
        <v>0</v>
      </c>
      <c r="Q97" s="218">
        <v>988081</v>
      </c>
      <c r="R97" s="56"/>
    </row>
    <row r="98" spans="1:20" ht="15.75" x14ac:dyDescent="0.2">
      <c r="A98" s="217">
        <f t="shared" si="5"/>
        <v>43191</v>
      </c>
      <c r="B98" s="3">
        <v>26397</v>
      </c>
      <c r="C98" s="3">
        <v>8744</v>
      </c>
      <c r="D98" s="3">
        <v>54940</v>
      </c>
      <c r="E98" s="3">
        <v>5631</v>
      </c>
      <c r="F98" s="3">
        <v>143085</v>
      </c>
      <c r="G98" s="3">
        <v>54334</v>
      </c>
      <c r="H98" s="3">
        <v>266112</v>
      </c>
      <c r="I98" s="3">
        <v>103</v>
      </c>
      <c r="J98" s="3">
        <v>342168</v>
      </c>
      <c r="K98" s="3">
        <v>45549</v>
      </c>
      <c r="L98" s="3">
        <v>20343</v>
      </c>
      <c r="M98" s="3">
        <v>6630</v>
      </c>
      <c r="N98" s="3">
        <v>1506</v>
      </c>
      <c r="O98" s="3">
        <v>1</v>
      </c>
      <c r="P98" s="3">
        <v>0</v>
      </c>
      <c r="Q98" s="218">
        <v>975543</v>
      </c>
      <c r="R98" s="56"/>
    </row>
    <row r="99" spans="1:20" ht="15.75" x14ac:dyDescent="0.2">
      <c r="A99" s="217">
        <f t="shared" si="5"/>
        <v>43221</v>
      </c>
      <c r="B99" s="3"/>
      <c r="C99" s="3"/>
      <c r="D99" s="3"/>
      <c r="E99" s="3"/>
      <c r="F99" s="3"/>
      <c r="G99" s="3"/>
      <c r="H99" s="3"/>
      <c r="I99" s="3"/>
      <c r="J99" s="3"/>
      <c r="K99" s="3"/>
      <c r="L99" s="3"/>
      <c r="M99" s="3"/>
      <c r="N99" s="3"/>
      <c r="O99" s="3"/>
      <c r="P99" s="3"/>
      <c r="Q99" s="218"/>
      <c r="R99" s="56"/>
    </row>
    <row r="100" spans="1:20" ht="16.5" thickBot="1" x14ac:dyDescent="0.25">
      <c r="A100" s="273">
        <f t="shared" si="5"/>
        <v>43252</v>
      </c>
      <c r="B100" s="274"/>
      <c r="C100" s="274"/>
      <c r="D100" s="274"/>
      <c r="E100" s="274"/>
      <c r="F100" s="274"/>
      <c r="G100" s="274"/>
      <c r="H100" s="274"/>
      <c r="I100" s="274"/>
      <c r="J100" s="274"/>
      <c r="K100" s="274"/>
      <c r="L100" s="274"/>
      <c r="M100" s="274"/>
      <c r="N100" s="274"/>
      <c r="O100" s="274"/>
      <c r="P100" s="274"/>
      <c r="Q100" s="275"/>
      <c r="R100" s="56"/>
      <c r="T100" s="278"/>
    </row>
    <row r="101" spans="1:20" ht="17.25" thickTop="1" thickBot="1" x14ac:dyDescent="0.3">
      <c r="A101" s="225" t="str">
        <f t="shared" si="5"/>
        <v>FY 2017-18 Year-to-Date Average</v>
      </c>
      <c r="B101" s="5">
        <v>26295</v>
      </c>
      <c r="C101" s="5">
        <v>8503</v>
      </c>
      <c r="D101" s="5">
        <v>54314</v>
      </c>
      <c r="E101" s="5">
        <v>5055</v>
      </c>
      <c r="F101" s="5">
        <v>143917</v>
      </c>
      <c r="G101" s="5">
        <v>55761</v>
      </c>
      <c r="H101" s="5">
        <v>281572</v>
      </c>
      <c r="I101" s="5">
        <v>88</v>
      </c>
      <c r="J101" s="5">
        <v>356756</v>
      </c>
      <c r="K101" s="5">
        <v>50618</v>
      </c>
      <c r="L101" s="5">
        <v>19758</v>
      </c>
      <c r="M101" s="5">
        <v>6562</v>
      </c>
      <c r="N101" s="5">
        <v>1416</v>
      </c>
      <c r="O101" s="5">
        <v>1</v>
      </c>
      <c r="P101" s="5">
        <v>0</v>
      </c>
      <c r="Q101" s="226">
        <v>1010616</v>
      </c>
      <c r="R101" s="56"/>
      <c r="S101" s="5"/>
      <c r="T101" s="322"/>
    </row>
    <row r="102" spans="1:20" ht="13.5" hidden="1" thickBot="1" x14ac:dyDescent="0.25">
      <c r="A102" s="529"/>
      <c r="B102" s="324"/>
      <c r="C102" s="324"/>
      <c r="D102" s="324"/>
      <c r="E102" s="324"/>
      <c r="F102" s="324"/>
      <c r="G102" s="324"/>
      <c r="H102" s="324"/>
      <c r="I102" s="324"/>
      <c r="J102" s="324"/>
      <c r="K102" s="324"/>
      <c r="L102" s="324"/>
      <c r="M102" s="324"/>
      <c r="N102" s="324"/>
      <c r="O102" s="324"/>
      <c r="P102" s="324"/>
      <c r="Q102" s="530"/>
      <c r="R102" s="324"/>
    </row>
    <row r="103" spans="1:20" ht="13.5" hidden="1" thickBot="1" x14ac:dyDescent="0.25">
      <c r="A103" s="529"/>
      <c r="B103" s="324"/>
      <c r="C103" s="324"/>
      <c r="D103" s="324"/>
      <c r="E103" s="324"/>
      <c r="F103" s="324"/>
      <c r="G103" s="324"/>
      <c r="H103" s="324"/>
      <c r="I103" s="324"/>
      <c r="J103" s="324"/>
      <c r="K103" s="324"/>
      <c r="L103" s="324"/>
      <c r="M103" s="324"/>
      <c r="N103" s="324"/>
      <c r="O103" s="324"/>
      <c r="P103" s="324"/>
      <c r="Q103" s="530"/>
    </row>
    <row r="104" spans="1:20" ht="13.5" hidden="1" thickBot="1" x14ac:dyDescent="0.25">
      <c r="A104" s="529"/>
      <c r="B104" s="324"/>
      <c r="C104" s="324"/>
      <c r="D104" s="324"/>
      <c r="E104" s="324"/>
      <c r="F104" s="324"/>
      <c r="G104" s="324"/>
      <c r="H104" s="324"/>
      <c r="I104" s="324"/>
      <c r="J104" s="324"/>
      <c r="K104" s="324"/>
      <c r="L104" s="324"/>
      <c r="M104" s="324"/>
      <c r="N104" s="324"/>
      <c r="O104" s="324"/>
      <c r="P104" s="324"/>
      <c r="Q104" s="530"/>
    </row>
    <row r="105" spans="1:20" ht="13.5" hidden="1" thickBot="1" x14ac:dyDescent="0.25">
      <c r="A105" s="529"/>
      <c r="B105" s="324"/>
      <c r="C105" s="324"/>
      <c r="D105" s="324"/>
      <c r="E105" s="324"/>
      <c r="F105" s="324"/>
      <c r="G105" s="324"/>
      <c r="H105" s="324"/>
      <c r="I105" s="324"/>
      <c r="J105" s="324"/>
      <c r="K105" s="324"/>
      <c r="L105" s="324"/>
      <c r="M105" s="324"/>
      <c r="N105" s="324"/>
      <c r="O105" s="324"/>
      <c r="P105" s="324"/>
      <c r="Q105" s="530"/>
    </row>
    <row r="106" spans="1:20" ht="13.5" hidden="1" thickBot="1" x14ac:dyDescent="0.25">
      <c r="A106" s="529"/>
      <c r="B106" s="324"/>
      <c r="C106" s="324"/>
      <c r="D106" s="324"/>
      <c r="E106" s="324"/>
      <c r="F106" s="324"/>
      <c r="G106" s="324"/>
      <c r="H106" s="324"/>
      <c r="I106" s="324"/>
      <c r="J106" s="324"/>
      <c r="K106" s="324"/>
      <c r="L106" s="324"/>
      <c r="M106" s="324"/>
      <c r="N106" s="324"/>
      <c r="O106" s="324"/>
      <c r="P106" s="324"/>
      <c r="Q106" s="530"/>
    </row>
    <row r="107" spans="1:20" ht="13.5" hidden="1" thickBot="1" x14ac:dyDescent="0.25">
      <c r="A107" s="529"/>
      <c r="B107" s="324"/>
      <c r="C107" s="324"/>
      <c r="D107" s="324"/>
      <c r="E107" s="324"/>
      <c r="F107" s="324"/>
      <c r="G107" s="324"/>
      <c r="H107" s="324"/>
      <c r="I107" s="324"/>
      <c r="J107" s="324"/>
      <c r="K107" s="324"/>
      <c r="L107" s="324"/>
      <c r="M107" s="324"/>
      <c r="N107" s="324"/>
      <c r="O107" s="324"/>
      <c r="P107" s="324"/>
      <c r="Q107" s="530"/>
    </row>
    <row r="108" spans="1:20" ht="13.5" hidden="1" thickBot="1" x14ac:dyDescent="0.25">
      <c r="A108" s="529"/>
      <c r="B108" s="324"/>
      <c r="C108" s="324"/>
      <c r="D108" s="324"/>
      <c r="E108" s="324"/>
      <c r="F108" s="324"/>
      <c r="G108" s="324"/>
      <c r="H108" s="324"/>
      <c r="I108" s="324"/>
      <c r="J108" s="324"/>
      <c r="K108" s="324"/>
      <c r="L108" s="324"/>
      <c r="M108" s="324"/>
      <c r="N108" s="324"/>
      <c r="O108" s="324"/>
      <c r="P108" s="324"/>
      <c r="Q108" s="530"/>
    </row>
    <row r="109" spans="1:20" ht="13.5" hidden="1" thickBot="1" x14ac:dyDescent="0.25">
      <c r="A109" s="529"/>
      <c r="B109" s="324"/>
      <c r="C109" s="324"/>
      <c r="D109" s="324"/>
      <c r="E109" s="324"/>
      <c r="F109" s="324"/>
      <c r="G109" s="324"/>
      <c r="H109" s="324"/>
      <c r="I109" s="324"/>
      <c r="J109" s="324"/>
      <c r="K109" s="324"/>
      <c r="L109" s="324"/>
      <c r="M109" s="324"/>
      <c r="N109" s="324"/>
      <c r="O109" s="324"/>
      <c r="P109" s="324"/>
      <c r="Q109" s="530"/>
    </row>
    <row r="110" spans="1:20" ht="13.5" hidden="1" thickBot="1" x14ac:dyDescent="0.25">
      <c r="A110" s="529"/>
      <c r="B110" s="324"/>
      <c r="C110" s="324"/>
      <c r="D110" s="324"/>
      <c r="E110" s="324"/>
      <c r="F110" s="324"/>
      <c r="G110" s="324"/>
      <c r="H110" s="324"/>
      <c r="I110" s="324"/>
      <c r="J110" s="324"/>
      <c r="K110" s="324"/>
      <c r="L110" s="324"/>
      <c r="M110" s="324"/>
      <c r="N110" s="324"/>
      <c r="O110" s="324"/>
      <c r="P110" s="324"/>
      <c r="Q110" s="530"/>
    </row>
    <row r="111" spans="1:20" ht="13.5" hidden="1" thickBot="1" x14ac:dyDescent="0.25">
      <c r="A111" s="529"/>
      <c r="B111" s="324"/>
      <c r="C111" s="324"/>
      <c r="D111" s="324"/>
      <c r="E111" s="324"/>
      <c r="F111" s="324"/>
      <c r="G111" s="324"/>
      <c r="H111" s="324"/>
      <c r="I111" s="324"/>
      <c r="J111" s="324"/>
      <c r="K111" s="324"/>
      <c r="L111" s="324"/>
      <c r="M111" s="324"/>
      <c r="N111" s="324"/>
      <c r="O111" s="324"/>
      <c r="P111" s="324"/>
      <c r="Q111" s="530"/>
    </row>
    <row r="112" spans="1:20" ht="13.5" hidden="1" thickBot="1" x14ac:dyDescent="0.25">
      <c r="A112" s="529"/>
      <c r="B112" s="324"/>
      <c r="C112" s="324"/>
      <c r="D112" s="324"/>
      <c r="E112" s="324"/>
      <c r="F112" s="324"/>
      <c r="G112" s="324"/>
      <c r="H112" s="324"/>
      <c r="I112" s="324"/>
      <c r="J112" s="324"/>
      <c r="K112" s="324"/>
      <c r="L112" s="324"/>
      <c r="M112" s="324"/>
      <c r="N112" s="324"/>
      <c r="O112" s="324"/>
      <c r="P112" s="324"/>
      <c r="Q112" s="530"/>
    </row>
    <row r="113" spans="1:24" ht="13.5" hidden="1" thickBot="1" x14ac:dyDescent="0.25">
      <c r="A113" s="529"/>
      <c r="B113" s="324"/>
      <c r="C113" s="324"/>
      <c r="D113" s="324"/>
      <c r="E113" s="324"/>
      <c r="F113" s="324"/>
      <c r="G113" s="324"/>
      <c r="H113" s="324"/>
      <c r="I113" s="324"/>
      <c r="J113" s="324"/>
      <c r="K113" s="324"/>
      <c r="L113" s="324"/>
      <c r="M113" s="324"/>
      <c r="N113" s="324"/>
      <c r="O113" s="324"/>
      <c r="P113" s="324"/>
      <c r="Q113" s="530"/>
      <c r="X113" s="324"/>
    </row>
    <row r="114" spans="1:24" ht="13.5" hidden="1" thickBot="1" x14ac:dyDescent="0.25">
      <c r="A114" s="529"/>
      <c r="B114" s="324"/>
      <c r="C114" s="324"/>
      <c r="D114" s="324"/>
      <c r="E114" s="324"/>
      <c r="F114" s="324"/>
      <c r="G114" s="324"/>
      <c r="H114" s="324"/>
      <c r="I114" s="324"/>
      <c r="J114" s="324"/>
      <c r="K114" s="324"/>
      <c r="L114" s="324"/>
      <c r="M114" s="324"/>
      <c r="N114" s="324"/>
      <c r="O114" s="324"/>
      <c r="P114" s="324"/>
      <c r="Q114" s="530"/>
    </row>
    <row r="115" spans="1:24" ht="13.5" hidden="1" thickBot="1" x14ac:dyDescent="0.25">
      <c r="A115" s="529"/>
      <c r="B115" s="324"/>
      <c r="C115" s="324"/>
      <c r="D115" s="324"/>
      <c r="E115" s="324"/>
      <c r="F115" s="324"/>
      <c r="G115" s="324"/>
      <c r="H115" s="324"/>
      <c r="I115" s="324"/>
      <c r="J115" s="324"/>
      <c r="K115" s="324"/>
      <c r="L115" s="324"/>
      <c r="M115" s="324"/>
      <c r="N115" s="324"/>
      <c r="O115" s="324"/>
      <c r="P115" s="324"/>
      <c r="Q115" s="530"/>
    </row>
    <row r="116" spans="1:24" ht="15.75" x14ac:dyDescent="0.2">
      <c r="A116" s="709" t="s">
        <v>24</v>
      </c>
      <c r="B116" s="710"/>
      <c r="C116" s="710"/>
      <c r="D116" s="710"/>
      <c r="E116" s="710"/>
      <c r="F116" s="710"/>
      <c r="G116" s="710"/>
      <c r="H116" s="710"/>
      <c r="I116" s="710"/>
      <c r="J116" s="710"/>
      <c r="K116" s="710"/>
      <c r="L116" s="710"/>
      <c r="M116" s="710"/>
      <c r="N116" s="710"/>
      <c r="O116" s="710"/>
      <c r="P116" s="710"/>
      <c r="Q116" s="711"/>
      <c r="R116" s="56"/>
      <c r="S116" s="5"/>
      <c r="T116" s="322"/>
    </row>
    <row r="117" spans="1:24" ht="15.75" customHeight="1" x14ac:dyDescent="0.2">
      <c r="A117" s="712" t="s">
        <v>318</v>
      </c>
      <c r="B117" s="713"/>
      <c r="C117" s="713"/>
      <c r="D117" s="713"/>
      <c r="E117" s="713"/>
      <c r="F117" s="713"/>
      <c r="G117" s="713"/>
      <c r="H117" s="713"/>
      <c r="I117" s="713"/>
      <c r="J117" s="713"/>
      <c r="K117" s="713"/>
      <c r="L117" s="713"/>
      <c r="M117" s="713"/>
      <c r="N117" s="713"/>
      <c r="O117" s="713"/>
      <c r="P117" s="713"/>
      <c r="Q117" s="714"/>
      <c r="R117" s="56"/>
      <c r="S117" s="5"/>
      <c r="T117" s="322"/>
    </row>
    <row r="118" spans="1:24" ht="15.75" x14ac:dyDescent="0.2">
      <c r="A118" s="715" t="s">
        <v>380</v>
      </c>
      <c r="B118" s="716"/>
      <c r="C118" s="716"/>
      <c r="D118" s="716"/>
      <c r="E118" s="716"/>
      <c r="F118" s="716"/>
      <c r="G118" s="716"/>
      <c r="H118" s="716"/>
      <c r="I118" s="716"/>
      <c r="J118" s="716"/>
      <c r="K118" s="716"/>
      <c r="L118" s="716"/>
      <c r="M118" s="716"/>
      <c r="N118" s="716"/>
      <c r="O118" s="716"/>
      <c r="P118" s="716"/>
      <c r="Q118" s="717"/>
      <c r="R118" s="381"/>
      <c r="S118" s="5"/>
      <c r="T118" s="322"/>
    </row>
    <row r="119" spans="1:24" ht="15.75" x14ac:dyDescent="0.2">
      <c r="A119" s="718" t="s">
        <v>327</v>
      </c>
      <c r="B119" s="719"/>
      <c r="C119" s="719"/>
      <c r="D119" s="719"/>
      <c r="E119" s="719"/>
      <c r="F119" s="719"/>
      <c r="G119" s="719"/>
      <c r="H119" s="719"/>
      <c r="I119" s="719"/>
      <c r="J119" s="719"/>
      <c r="K119" s="719"/>
      <c r="L119" s="719"/>
      <c r="M119" s="719"/>
      <c r="N119" s="719"/>
      <c r="O119" s="719"/>
      <c r="P119" s="719"/>
      <c r="Q119" s="720"/>
      <c r="R119" s="56"/>
      <c r="S119" s="5"/>
      <c r="T119" s="322"/>
    </row>
    <row r="120" spans="1:24" ht="15.75" x14ac:dyDescent="0.2">
      <c r="A120" s="712" t="s">
        <v>381</v>
      </c>
      <c r="B120" s="713"/>
      <c r="C120" s="713"/>
      <c r="D120" s="713"/>
      <c r="E120" s="713"/>
      <c r="F120" s="713"/>
      <c r="G120" s="713"/>
      <c r="H120" s="713"/>
      <c r="I120" s="713"/>
      <c r="J120" s="713"/>
      <c r="K120" s="713"/>
      <c r="L120" s="713"/>
      <c r="M120" s="713"/>
      <c r="N120" s="713"/>
      <c r="O120" s="713"/>
      <c r="P120" s="713"/>
      <c r="Q120" s="714"/>
      <c r="R120" s="56"/>
      <c r="S120" s="5"/>
      <c r="T120" s="322"/>
    </row>
    <row r="121" spans="1:24" ht="26.25" customHeight="1" x14ac:dyDescent="0.2">
      <c r="A121" s="715" t="s">
        <v>405</v>
      </c>
      <c r="B121" s="716"/>
      <c r="C121" s="716"/>
      <c r="D121" s="716"/>
      <c r="E121" s="716"/>
      <c r="F121" s="716"/>
      <c r="G121" s="716"/>
      <c r="H121" s="716"/>
      <c r="I121" s="716"/>
      <c r="J121" s="716"/>
      <c r="K121" s="716"/>
      <c r="L121" s="716"/>
      <c r="M121" s="716"/>
      <c r="N121" s="716"/>
      <c r="O121" s="716"/>
      <c r="P121" s="716"/>
      <c r="Q121" s="717"/>
      <c r="R121" s="583" t="s">
        <v>338</v>
      </c>
    </row>
    <row r="122" spans="1:24" ht="26.25" thickBot="1" x14ac:dyDescent="0.25">
      <c r="A122" s="682" t="s">
        <v>390</v>
      </c>
      <c r="B122" s="683"/>
      <c r="C122" s="683"/>
      <c r="D122" s="683"/>
      <c r="E122" s="683"/>
      <c r="F122" s="683"/>
      <c r="G122" s="683"/>
      <c r="H122" s="683"/>
      <c r="I122" s="683"/>
      <c r="J122" s="683"/>
      <c r="K122" s="683"/>
      <c r="L122" s="683"/>
      <c r="M122" s="683"/>
      <c r="N122" s="683"/>
      <c r="O122" s="683"/>
      <c r="P122" s="683"/>
      <c r="Q122" s="684"/>
      <c r="R122" s="583" t="s">
        <v>338</v>
      </c>
    </row>
    <row r="136" ht="12.75" customHeight="1" x14ac:dyDescent="0.2"/>
  </sheetData>
  <mergeCells count="8">
    <mergeCell ref="A1:Q1"/>
    <mergeCell ref="A116:Q116"/>
    <mergeCell ref="A117:Q117"/>
    <mergeCell ref="A118:Q118"/>
    <mergeCell ref="A119:Q119"/>
    <mergeCell ref="A121:Q121"/>
    <mergeCell ref="A120:Q120"/>
    <mergeCell ref="A122:Q122"/>
  </mergeCells>
  <printOptions horizontalCentered="1" gridLines="1"/>
  <pageMargins left="0.28999999999999998" right="0.28999999999999998" top="0.7" bottom="0.43" header="0.3" footer="0.27"/>
  <pageSetup scale="52" fitToHeight="0"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rowBreaks count="1" manualBreakCount="1">
    <brk id="58"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B1:W94"/>
  <sheetViews>
    <sheetView view="pageBreakPreview" topLeftCell="A52" zoomScaleNormal="100" zoomScaleSheetLayoutView="100" workbookViewId="0">
      <selection activeCell="Q85" sqref="Q1:T85"/>
    </sheetView>
  </sheetViews>
  <sheetFormatPr defaultRowHeight="12.75" x14ac:dyDescent="0.2"/>
  <cols>
    <col min="2" max="2" width="9.28515625" bestFit="1" customWidth="1"/>
    <col min="3" max="3" width="11.7109375" bestFit="1" customWidth="1"/>
    <col min="4" max="15" width="10.7109375" customWidth="1"/>
    <col min="16" max="16" width="13.42578125" customWidth="1"/>
  </cols>
  <sheetData>
    <row r="1" spans="2:19" ht="13.5" thickBot="1" x14ac:dyDescent="0.25"/>
    <row r="2" spans="2:19" ht="16.5" thickBot="1" x14ac:dyDescent="0.3">
      <c r="B2" s="724" t="s">
        <v>201</v>
      </c>
      <c r="C2" s="725"/>
      <c r="D2" s="725"/>
      <c r="E2" s="725"/>
      <c r="F2" s="725"/>
      <c r="G2" s="725"/>
      <c r="H2" s="725"/>
      <c r="I2" s="725"/>
      <c r="J2" s="725"/>
      <c r="K2" s="725"/>
      <c r="L2" s="725"/>
      <c r="M2" s="725"/>
      <c r="N2" s="725"/>
      <c r="O2" s="725"/>
      <c r="P2" s="726"/>
    </row>
    <row r="3" spans="2:19" ht="63.75" thickBot="1" x14ac:dyDescent="0.25">
      <c r="B3" s="86" t="s">
        <v>266</v>
      </c>
      <c r="C3" s="86" t="s">
        <v>267</v>
      </c>
      <c r="D3" s="567">
        <v>42917</v>
      </c>
      <c r="E3" s="567">
        <v>42948</v>
      </c>
      <c r="F3" s="567">
        <v>42979</v>
      </c>
      <c r="G3" s="567">
        <v>43009</v>
      </c>
      <c r="H3" s="567">
        <v>43040</v>
      </c>
      <c r="I3" s="567">
        <v>43070</v>
      </c>
      <c r="J3" s="567">
        <v>43101</v>
      </c>
      <c r="K3" s="567">
        <v>43132</v>
      </c>
      <c r="L3" s="567">
        <v>43160</v>
      </c>
      <c r="M3" s="567">
        <v>43191</v>
      </c>
      <c r="N3" s="567">
        <v>43221</v>
      </c>
      <c r="O3" s="568">
        <v>43252</v>
      </c>
      <c r="P3" s="494" t="s">
        <v>370</v>
      </c>
    </row>
    <row r="4" spans="2:19" ht="15.75" x14ac:dyDescent="0.25">
      <c r="B4" s="727" t="s">
        <v>285</v>
      </c>
      <c r="C4" s="326" t="s">
        <v>205</v>
      </c>
      <c r="D4" s="329">
        <v>3097</v>
      </c>
      <c r="E4" s="329">
        <v>3163</v>
      </c>
      <c r="F4" s="329">
        <v>3104</v>
      </c>
      <c r="G4" s="329">
        <v>2962</v>
      </c>
      <c r="H4" s="329">
        <v>2865</v>
      </c>
      <c r="I4" s="329">
        <v>2841</v>
      </c>
      <c r="J4" s="329">
        <v>2812</v>
      </c>
      <c r="K4" s="329">
        <v>2765</v>
      </c>
      <c r="L4" s="329">
        <v>2774</v>
      </c>
      <c r="M4" s="329">
        <v>2769</v>
      </c>
      <c r="N4" s="329"/>
      <c r="O4" s="330"/>
      <c r="P4" s="331">
        <v>2915</v>
      </c>
      <c r="Q4" s="322"/>
      <c r="R4" s="343"/>
    </row>
    <row r="5" spans="2:19" ht="15.75" x14ac:dyDescent="0.25">
      <c r="B5" s="728"/>
      <c r="C5" s="327" t="s">
        <v>217</v>
      </c>
      <c r="D5" s="28">
        <v>8532</v>
      </c>
      <c r="E5" s="28">
        <v>8648</v>
      </c>
      <c r="F5" s="28">
        <v>8529</v>
      </c>
      <c r="G5" s="28">
        <v>8222</v>
      </c>
      <c r="H5" s="28">
        <v>8131</v>
      </c>
      <c r="I5" s="28">
        <v>8257</v>
      </c>
      <c r="J5" s="28">
        <v>8223</v>
      </c>
      <c r="K5" s="28">
        <v>8168</v>
      </c>
      <c r="L5" s="28">
        <v>8184</v>
      </c>
      <c r="M5" s="28">
        <v>8136</v>
      </c>
      <c r="N5" s="28"/>
      <c r="O5" s="332"/>
      <c r="P5" s="333">
        <v>8303</v>
      </c>
      <c r="Q5" s="322"/>
      <c r="R5" s="343"/>
    </row>
    <row r="6" spans="2:19" ht="15.75" x14ac:dyDescent="0.25">
      <c r="B6" s="728"/>
      <c r="C6" s="327" t="s">
        <v>219</v>
      </c>
      <c r="D6" s="28">
        <v>526</v>
      </c>
      <c r="E6" s="28">
        <v>542</v>
      </c>
      <c r="F6" s="28">
        <v>541</v>
      </c>
      <c r="G6" s="28">
        <v>534</v>
      </c>
      <c r="H6" s="28">
        <v>505</v>
      </c>
      <c r="I6" s="28">
        <v>526</v>
      </c>
      <c r="J6" s="28">
        <v>524</v>
      </c>
      <c r="K6" s="28">
        <v>528</v>
      </c>
      <c r="L6" s="28">
        <v>523</v>
      </c>
      <c r="M6" s="28">
        <v>522</v>
      </c>
      <c r="N6" s="28"/>
      <c r="O6" s="332"/>
      <c r="P6" s="333">
        <v>527</v>
      </c>
      <c r="Q6" s="322"/>
      <c r="R6" s="343"/>
      <c r="S6" s="322"/>
    </row>
    <row r="7" spans="2:19" ht="15.75" x14ac:dyDescent="0.25">
      <c r="B7" s="728"/>
      <c r="C7" s="327" t="s">
        <v>221</v>
      </c>
      <c r="D7" s="28">
        <v>5720</v>
      </c>
      <c r="E7" s="28">
        <v>5816</v>
      </c>
      <c r="F7" s="28">
        <v>5742</v>
      </c>
      <c r="G7" s="28">
        <v>5375</v>
      </c>
      <c r="H7" s="28">
        <v>5272</v>
      </c>
      <c r="I7" s="28">
        <v>5252</v>
      </c>
      <c r="J7" s="28">
        <v>5191</v>
      </c>
      <c r="K7" s="28">
        <v>5165</v>
      </c>
      <c r="L7" s="28">
        <v>5194</v>
      </c>
      <c r="M7" s="28">
        <v>5092</v>
      </c>
      <c r="N7" s="28"/>
      <c r="O7" s="332"/>
      <c r="P7" s="333">
        <v>5382</v>
      </c>
      <c r="Q7" s="322"/>
      <c r="R7" s="343"/>
      <c r="S7" s="322"/>
    </row>
    <row r="8" spans="2:19" ht="15.75" x14ac:dyDescent="0.25">
      <c r="B8" s="728"/>
      <c r="C8" s="327" t="s">
        <v>225</v>
      </c>
      <c r="D8" s="28">
        <v>11795</v>
      </c>
      <c r="E8" s="28">
        <v>11754</v>
      </c>
      <c r="F8" s="28">
        <v>11583</v>
      </c>
      <c r="G8" s="28">
        <v>11222</v>
      </c>
      <c r="H8" s="28">
        <v>11038</v>
      </c>
      <c r="I8" s="28">
        <v>11135</v>
      </c>
      <c r="J8" s="28">
        <v>11070</v>
      </c>
      <c r="K8" s="28">
        <v>10940</v>
      </c>
      <c r="L8" s="28">
        <v>11026</v>
      </c>
      <c r="M8" s="28">
        <v>10812</v>
      </c>
      <c r="N8" s="28"/>
      <c r="O8" s="332"/>
      <c r="P8" s="333">
        <v>11238</v>
      </c>
      <c r="Q8" s="322"/>
      <c r="R8" s="343"/>
      <c r="S8" s="322"/>
    </row>
    <row r="9" spans="2:19" ht="15.75" x14ac:dyDescent="0.25">
      <c r="B9" s="728"/>
      <c r="C9" s="327" t="s">
        <v>227</v>
      </c>
      <c r="D9" s="28">
        <v>1627</v>
      </c>
      <c r="E9" s="28">
        <v>1667</v>
      </c>
      <c r="F9" s="28">
        <v>1632</v>
      </c>
      <c r="G9" s="28">
        <v>1569</v>
      </c>
      <c r="H9" s="28">
        <v>1539</v>
      </c>
      <c r="I9" s="28">
        <v>1577</v>
      </c>
      <c r="J9" s="28">
        <v>1564</v>
      </c>
      <c r="K9" s="28">
        <v>1559</v>
      </c>
      <c r="L9" s="28">
        <v>1586</v>
      </c>
      <c r="M9" s="28">
        <v>1563</v>
      </c>
      <c r="N9" s="28"/>
      <c r="O9" s="332"/>
      <c r="P9" s="333">
        <v>1588</v>
      </c>
      <c r="R9" s="343"/>
      <c r="S9" s="322"/>
    </row>
    <row r="10" spans="2:19" ht="15.75" x14ac:dyDescent="0.25">
      <c r="B10" s="728"/>
      <c r="C10" s="327" t="s">
        <v>228</v>
      </c>
      <c r="D10" s="28">
        <v>3116</v>
      </c>
      <c r="E10" s="28">
        <v>3111</v>
      </c>
      <c r="F10" s="28">
        <v>3098</v>
      </c>
      <c r="G10" s="28">
        <v>2954</v>
      </c>
      <c r="H10" s="28">
        <v>2864</v>
      </c>
      <c r="I10" s="28">
        <v>2855</v>
      </c>
      <c r="J10" s="28">
        <v>2793</v>
      </c>
      <c r="K10" s="28">
        <v>2771</v>
      </c>
      <c r="L10" s="28">
        <v>2770</v>
      </c>
      <c r="M10" s="28">
        <v>2760</v>
      </c>
      <c r="N10" s="28"/>
      <c r="O10" s="332"/>
      <c r="P10" s="333">
        <v>2909</v>
      </c>
      <c r="R10" s="343"/>
      <c r="S10" s="322"/>
    </row>
    <row r="11" spans="2:19" ht="15.75" x14ac:dyDescent="0.25">
      <c r="B11" s="728"/>
      <c r="C11" s="327" t="s">
        <v>229</v>
      </c>
      <c r="D11" s="28">
        <v>141</v>
      </c>
      <c r="E11" s="28">
        <v>142</v>
      </c>
      <c r="F11" s="28">
        <v>143</v>
      </c>
      <c r="G11" s="28">
        <v>140</v>
      </c>
      <c r="H11" s="28">
        <v>146</v>
      </c>
      <c r="I11" s="28">
        <v>143</v>
      </c>
      <c r="J11" s="28">
        <v>131</v>
      </c>
      <c r="K11" s="28">
        <v>129</v>
      </c>
      <c r="L11" s="28">
        <v>140</v>
      </c>
      <c r="M11" s="28">
        <v>143</v>
      </c>
      <c r="N11" s="28"/>
      <c r="O11" s="332"/>
      <c r="P11" s="333">
        <v>140</v>
      </c>
      <c r="R11" s="343"/>
      <c r="S11" s="322"/>
    </row>
    <row r="12" spans="2:19" ht="15.75" x14ac:dyDescent="0.25">
      <c r="B12" s="728"/>
      <c r="C12" s="327" t="s">
        <v>231</v>
      </c>
      <c r="D12" s="28">
        <v>252</v>
      </c>
      <c r="E12" s="28">
        <v>262</v>
      </c>
      <c r="F12" s="28">
        <v>254</v>
      </c>
      <c r="G12" s="28">
        <v>237</v>
      </c>
      <c r="H12" s="28">
        <v>231</v>
      </c>
      <c r="I12" s="28">
        <v>231</v>
      </c>
      <c r="J12" s="28">
        <v>238</v>
      </c>
      <c r="K12" s="28">
        <v>230</v>
      </c>
      <c r="L12" s="28">
        <v>233</v>
      </c>
      <c r="M12" s="28">
        <v>232</v>
      </c>
      <c r="N12" s="28"/>
      <c r="O12" s="332"/>
      <c r="P12" s="333">
        <v>240</v>
      </c>
      <c r="R12" s="343"/>
      <c r="S12" s="322"/>
    </row>
    <row r="13" spans="2:19" ht="15.75" x14ac:dyDescent="0.25">
      <c r="B13" s="728"/>
      <c r="C13" s="327" t="s">
        <v>235</v>
      </c>
      <c r="D13" s="28">
        <v>10069</v>
      </c>
      <c r="E13" s="28">
        <v>10239</v>
      </c>
      <c r="F13" s="28">
        <v>10068</v>
      </c>
      <c r="G13" s="28">
        <v>9704</v>
      </c>
      <c r="H13" s="28">
        <v>9525</v>
      </c>
      <c r="I13" s="28">
        <v>9603</v>
      </c>
      <c r="J13" s="28">
        <v>9424</v>
      </c>
      <c r="K13" s="28">
        <v>9571</v>
      </c>
      <c r="L13" s="28">
        <v>9646</v>
      </c>
      <c r="M13" s="28">
        <v>9624</v>
      </c>
      <c r="N13" s="28"/>
      <c r="O13" s="332"/>
      <c r="P13" s="333">
        <v>9747</v>
      </c>
      <c r="R13" s="343"/>
      <c r="S13" s="322"/>
    </row>
    <row r="14" spans="2:19" ht="15.75" x14ac:dyDescent="0.25">
      <c r="B14" s="728"/>
      <c r="C14" s="327" t="s">
        <v>237</v>
      </c>
      <c r="D14" s="28">
        <v>55811</v>
      </c>
      <c r="E14" s="28">
        <v>56370</v>
      </c>
      <c r="F14" s="28">
        <v>55648</v>
      </c>
      <c r="G14" s="28">
        <v>53071</v>
      </c>
      <c r="H14" s="28">
        <v>52331</v>
      </c>
      <c r="I14" s="28">
        <v>52967</v>
      </c>
      <c r="J14" s="28">
        <v>51940</v>
      </c>
      <c r="K14" s="28">
        <v>51448</v>
      </c>
      <c r="L14" s="28">
        <v>51705</v>
      </c>
      <c r="M14" s="28">
        <v>50851</v>
      </c>
      <c r="N14" s="28"/>
      <c r="O14" s="332"/>
      <c r="P14" s="333">
        <v>53214</v>
      </c>
      <c r="Q14" s="347"/>
      <c r="R14" s="343"/>
      <c r="S14" s="322"/>
    </row>
    <row r="15" spans="2:19" ht="15.75" x14ac:dyDescent="0.25">
      <c r="B15" s="728"/>
      <c r="C15" s="327" t="s">
        <v>241</v>
      </c>
      <c r="D15" s="28">
        <v>40852</v>
      </c>
      <c r="E15" s="28">
        <v>41123</v>
      </c>
      <c r="F15" s="28">
        <v>40703</v>
      </c>
      <c r="G15" s="28">
        <v>39635</v>
      </c>
      <c r="H15" s="28">
        <v>39397</v>
      </c>
      <c r="I15" s="28">
        <v>40008</v>
      </c>
      <c r="J15" s="28">
        <v>39697</v>
      </c>
      <c r="K15" s="28">
        <v>39570</v>
      </c>
      <c r="L15" s="28">
        <v>39602</v>
      </c>
      <c r="M15" s="28">
        <v>39223</v>
      </c>
      <c r="N15" s="28"/>
      <c r="O15" s="332"/>
      <c r="P15" s="333">
        <v>39981</v>
      </c>
      <c r="Q15" s="455"/>
      <c r="R15" s="343"/>
      <c r="S15" s="322"/>
    </row>
    <row r="16" spans="2:19" ht="15.75" x14ac:dyDescent="0.25">
      <c r="B16" s="728"/>
      <c r="C16" s="327" t="s">
        <v>243</v>
      </c>
      <c r="D16" s="28">
        <v>3166</v>
      </c>
      <c r="E16" s="28">
        <v>3186</v>
      </c>
      <c r="F16" s="28">
        <v>3181</v>
      </c>
      <c r="G16" s="28">
        <v>3081</v>
      </c>
      <c r="H16" s="28">
        <v>3045</v>
      </c>
      <c r="I16" s="28">
        <v>3077</v>
      </c>
      <c r="J16" s="28">
        <v>3025</v>
      </c>
      <c r="K16" s="28">
        <v>2977</v>
      </c>
      <c r="L16" s="28">
        <v>2972</v>
      </c>
      <c r="M16" s="28">
        <v>2941</v>
      </c>
      <c r="N16" s="28"/>
      <c r="O16" s="332"/>
      <c r="P16" s="333">
        <v>3065</v>
      </c>
      <c r="R16" s="343"/>
      <c r="S16" s="322"/>
    </row>
    <row r="17" spans="2:19" ht="15.75" x14ac:dyDescent="0.25">
      <c r="B17" s="728"/>
      <c r="C17" s="327" t="s">
        <v>244</v>
      </c>
      <c r="D17" s="28">
        <v>8426</v>
      </c>
      <c r="E17" s="28">
        <v>8540</v>
      </c>
      <c r="F17" s="28">
        <v>8473</v>
      </c>
      <c r="G17" s="28">
        <v>8208</v>
      </c>
      <c r="H17" s="28">
        <v>8046</v>
      </c>
      <c r="I17" s="28">
        <v>8203</v>
      </c>
      <c r="J17" s="28">
        <v>8192</v>
      </c>
      <c r="K17" s="28">
        <v>8159</v>
      </c>
      <c r="L17" s="28">
        <v>8223</v>
      </c>
      <c r="M17" s="28">
        <v>8245</v>
      </c>
      <c r="N17" s="28"/>
      <c r="O17" s="332"/>
      <c r="P17" s="333">
        <v>8272</v>
      </c>
      <c r="Q17" s="322"/>
      <c r="R17" s="343"/>
      <c r="S17" s="322"/>
    </row>
    <row r="18" spans="2:19" ht="15.75" x14ac:dyDescent="0.25">
      <c r="B18" s="728"/>
      <c r="C18" s="327" t="s">
        <v>245</v>
      </c>
      <c r="D18" s="28">
        <v>11042</v>
      </c>
      <c r="E18" s="28">
        <v>11111</v>
      </c>
      <c r="F18" s="28">
        <v>11024</v>
      </c>
      <c r="G18" s="28">
        <v>10780</v>
      </c>
      <c r="H18" s="28">
        <v>10708</v>
      </c>
      <c r="I18" s="28">
        <v>10823</v>
      </c>
      <c r="J18" s="28">
        <v>10815</v>
      </c>
      <c r="K18" s="28">
        <v>10760</v>
      </c>
      <c r="L18" s="28">
        <v>10756</v>
      </c>
      <c r="M18" s="28">
        <v>10558</v>
      </c>
      <c r="N18" s="28"/>
      <c r="O18" s="332"/>
      <c r="P18" s="333">
        <v>10838</v>
      </c>
      <c r="Q18" s="322"/>
      <c r="R18" s="343"/>
      <c r="S18" s="322"/>
    </row>
    <row r="19" spans="2:19" ht="15.75" x14ac:dyDescent="0.25">
      <c r="B19" s="728"/>
      <c r="C19" s="327" t="s">
        <v>248</v>
      </c>
      <c r="D19" s="28">
        <v>620</v>
      </c>
      <c r="E19" s="28">
        <v>639</v>
      </c>
      <c r="F19" s="28">
        <v>632</v>
      </c>
      <c r="G19" s="28">
        <v>607</v>
      </c>
      <c r="H19" s="28">
        <v>590</v>
      </c>
      <c r="I19" s="28">
        <v>586</v>
      </c>
      <c r="J19" s="28">
        <v>568</v>
      </c>
      <c r="K19" s="28">
        <v>566</v>
      </c>
      <c r="L19" s="28">
        <v>574</v>
      </c>
      <c r="M19" s="28">
        <v>565</v>
      </c>
      <c r="N19" s="28"/>
      <c r="O19" s="332"/>
      <c r="P19" s="333">
        <v>595</v>
      </c>
      <c r="Q19" s="322"/>
      <c r="R19" s="343"/>
      <c r="S19" s="322"/>
    </row>
    <row r="20" spans="2:19" ht="15.75" x14ac:dyDescent="0.25">
      <c r="B20" s="728"/>
      <c r="C20" s="327" t="s">
        <v>251</v>
      </c>
      <c r="D20" s="28">
        <v>1416</v>
      </c>
      <c r="E20" s="28">
        <v>1445</v>
      </c>
      <c r="F20" s="28">
        <v>1444</v>
      </c>
      <c r="G20" s="28">
        <v>1349</v>
      </c>
      <c r="H20" s="28">
        <v>1341</v>
      </c>
      <c r="I20" s="28">
        <v>1365</v>
      </c>
      <c r="J20" s="28">
        <v>1332</v>
      </c>
      <c r="K20" s="28">
        <v>1362</v>
      </c>
      <c r="L20" s="28">
        <v>1408</v>
      </c>
      <c r="M20" s="28">
        <v>1367</v>
      </c>
      <c r="N20" s="28"/>
      <c r="O20" s="332"/>
      <c r="P20" s="333">
        <v>1383</v>
      </c>
      <c r="R20" s="343"/>
      <c r="S20" s="322"/>
    </row>
    <row r="21" spans="2:19" ht="15.75" x14ac:dyDescent="0.25">
      <c r="B21" s="728"/>
      <c r="C21" s="327" t="s">
        <v>254</v>
      </c>
      <c r="D21" s="28">
        <v>1072</v>
      </c>
      <c r="E21" s="28">
        <v>1068</v>
      </c>
      <c r="F21" s="28">
        <v>1057</v>
      </c>
      <c r="G21" s="28">
        <v>1037</v>
      </c>
      <c r="H21" s="28">
        <v>1036</v>
      </c>
      <c r="I21" s="28">
        <v>1090</v>
      </c>
      <c r="J21" s="28">
        <v>1094</v>
      </c>
      <c r="K21" s="28">
        <v>1100</v>
      </c>
      <c r="L21" s="28">
        <v>1105</v>
      </c>
      <c r="M21" s="28">
        <v>1122</v>
      </c>
      <c r="N21" s="28"/>
      <c r="O21" s="332"/>
      <c r="P21" s="333">
        <v>1078</v>
      </c>
      <c r="R21" s="343"/>
      <c r="S21" s="322"/>
    </row>
    <row r="22" spans="2:19" ht="15.75" x14ac:dyDescent="0.25">
      <c r="B22" s="728"/>
      <c r="C22" s="327" t="s">
        <v>256</v>
      </c>
      <c r="D22" s="28">
        <v>3342</v>
      </c>
      <c r="E22" s="28">
        <v>3370</v>
      </c>
      <c r="F22" s="28">
        <v>3353</v>
      </c>
      <c r="G22" s="28">
        <v>3140</v>
      </c>
      <c r="H22" s="28">
        <v>3061</v>
      </c>
      <c r="I22" s="28">
        <v>3044</v>
      </c>
      <c r="J22" s="28">
        <v>2937</v>
      </c>
      <c r="K22" s="28">
        <v>2923</v>
      </c>
      <c r="L22" s="28">
        <v>2971</v>
      </c>
      <c r="M22" s="28">
        <v>2887</v>
      </c>
      <c r="N22" s="28"/>
      <c r="O22" s="332"/>
      <c r="P22" s="333">
        <v>3103</v>
      </c>
      <c r="R22" s="343"/>
      <c r="S22" s="322"/>
    </row>
    <row r="23" spans="2:19" ht="15.75" x14ac:dyDescent="0.25">
      <c r="B23" s="728"/>
      <c r="C23" s="327" t="s">
        <v>258</v>
      </c>
      <c r="D23" s="28">
        <v>153</v>
      </c>
      <c r="E23" s="28">
        <v>153</v>
      </c>
      <c r="F23" s="28">
        <v>157</v>
      </c>
      <c r="G23" s="28">
        <v>152</v>
      </c>
      <c r="H23" s="28">
        <v>146</v>
      </c>
      <c r="I23" s="28">
        <v>146</v>
      </c>
      <c r="J23" s="28">
        <v>143</v>
      </c>
      <c r="K23" s="28">
        <v>153</v>
      </c>
      <c r="L23" s="28">
        <v>156</v>
      </c>
      <c r="M23" s="28">
        <v>160</v>
      </c>
      <c r="N23" s="28"/>
      <c r="O23" s="332"/>
      <c r="P23" s="333">
        <v>152</v>
      </c>
      <c r="R23" s="343"/>
      <c r="S23" s="322"/>
    </row>
    <row r="24" spans="2:19" ht="15.75" x14ac:dyDescent="0.25">
      <c r="B24" s="728"/>
      <c r="C24" s="327" t="s">
        <v>259</v>
      </c>
      <c r="D24" s="28">
        <v>1001</v>
      </c>
      <c r="E24" s="28">
        <v>1059</v>
      </c>
      <c r="F24" s="28">
        <v>1040</v>
      </c>
      <c r="G24" s="28">
        <v>994</v>
      </c>
      <c r="H24" s="28">
        <v>979</v>
      </c>
      <c r="I24" s="28">
        <v>995</v>
      </c>
      <c r="J24" s="28">
        <v>981</v>
      </c>
      <c r="K24" s="28">
        <v>1008</v>
      </c>
      <c r="L24" s="28">
        <v>1017</v>
      </c>
      <c r="M24" s="28">
        <v>990</v>
      </c>
      <c r="N24" s="28"/>
      <c r="O24" s="332"/>
      <c r="P24" s="333">
        <v>1006</v>
      </c>
      <c r="R24" s="343"/>
      <c r="S24" s="322"/>
    </row>
    <row r="25" spans="2:19" ht="15.75" x14ac:dyDescent="0.25">
      <c r="B25" s="728"/>
      <c r="C25" s="327" t="s">
        <v>261</v>
      </c>
      <c r="D25" s="28">
        <v>3091</v>
      </c>
      <c r="E25" s="28">
        <v>3125</v>
      </c>
      <c r="F25" s="28">
        <v>3091</v>
      </c>
      <c r="G25" s="28">
        <v>2912</v>
      </c>
      <c r="H25" s="28">
        <v>2842</v>
      </c>
      <c r="I25" s="28">
        <v>2872</v>
      </c>
      <c r="J25" s="28">
        <v>2832</v>
      </c>
      <c r="K25" s="28">
        <v>2857</v>
      </c>
      <c r="L25" s="28">
        <v>2956</v>
      </c>
      <c r="M25" s="28">
        <v>2876</v>
      </c>
      <c r="N25" s="28"/>
      <c r="O25" s="332"/>
      <c r="P25" s="333">
        <v>2945</v>
      </c>
      <c r="Q25" s="322"/>
      <c r="R25" s="343"/>
      <c r="S25" s="322"/>
    </row>
    <row r="26" spans="2:19" ht="19.5" thickBot="1" x14ac:dyDescent="0.3">
      <c r="B26" s="728"/>
      <c r="C26" s="328" t="s">
        <v>275</v>
      </c>
      <c r="D26" s="334">
        <v>353</v>
      </c>
      <c r="E26" s="334">
        <v>518</v>
      </c>
      <c r="F26" s="334">
        <v>575</v>
      </c>
      <c r="G26" s="334">
        <v>524</v>
      </c>
      <c r="H26" s="334">
        <v>539</v>
      </c>
      <c r="I26" s="334">
        <v>343</v>
      </c>
      <c r="J26" s="334">
        <v>257</v>
      </c>
      <c r="K26" s="334">
        <v>302</v>
      </c>
      <c r="L26" s="334">
        <v>411</v>
      </c>
      <c r="M26" s="334">
        <v>409</v>
      </c>
      <c r="N26" s="334"/>
      <c r="O26" s="335"/>
      <c r="P26" s="336">
        <v>423</v>
      </c>
      <c r="R26" s="343"/>
      <c r="S26" s="322"/>
    </row>
    <row r="27" spans="2:19" ht="17.25" thickTop="1" thickBot="1" x14ac:dyDescent="0.3">
      <c r="B27" s="729"/>
      <c r="C27" s="337" t="s">
        <v>38</v>
      </c>
      <c r="D27" s="338">
        <v>175220</v>
      </c>
      <c r="E27" s="338">
        <v>177051</v>
      </c>
      <c r="F27" s="338">
        <v>175072</v>
      </c>
      <c r="G27" s="338">
        <v>168409</v>
      </c>
      <c r="H27" s="338">
        <v>166177</v>
      </c>
      <c r="I27" s="338">
        <v>167939</v>
      </c>
      <c r="J27" s="338">
        <v>165783</v>
      </c>
      <c r="K27" s="338">
        <v>165011</v>
      </c>
      <c r="L27" s="338">
        <v>165932</v>
      </c>
      <c r="M27" s="338">
        <v>163847</v>
      </c>
      <c r="N27" s="338"/>
      <c r="O27" s="339"/>
      <c r="P27" s="340">
        <v>169044</v>
      </c>
      <c r="Q27" s="13"/>
      <c r="R27" s="343"/>
      <c r="S27" s="322"/>
    </row>
    <row r="28" spans="2:19" ht="15.75" x14ac:dyDescent="0.25">
      <c r="B28" s="727" t="s">
        <v>268</v>
      </c>
      <c r="C28" s="326" t="s">
        <v>211</v>
      </c>
      <c r="D28" s="329">
        <v>411</v>
      </c>
      <c r="E28" s="329">
        <v>400</v>
      </c>
      <c r="F28" s="329">
        <v>400</v>
      </c>
      <c r="G28" s="329">
        <v>392</v>
      </c>
      <c r="H28" s="329">
        <v>384</v>
      </c>
      <c r="I28" s="329">
        <v>399</v>
      </c>
      <c r="J28" s="329">
        <v>391</v>
      </c>
      <c r="K28" s="329">
        <v>394</v>
      </c>
      <c r="L28" s="329">
        <v>392</v>
      </c>
      <c r="M28" s="329">
        <v>398</v>
      </c>
      <c r="N28" s="329"/>
      <c r="O28" s="330"/>
      <c r="P28" s="331">
        <v>396</v>
      </c>
      <c r="Q28" s="322"/>
      <c r="R28" s="343"/>
      <c r="S28" s="322"/>
    </row>
    <row r="29" spans="2:19" ht="15.75" x14ac:dyDescent="0.25">
      <c r="B29" s="728"/>
      <c r="C29" s="327" t="s">
        <v>234</v>
      </c>
      <c r="D29" s="28">
        <v>1602</v>
      </c>
      <c r="E29" s="28">
        <v>1620</v>
      </c>
      <c r="F29" s="28">
        <v>1631</v>
      </c>
      <c r="G29" s="28">
        <v>1614</v>
      </c>
      <c r="H29" s="28">
        <v>1570</v>
      </c>
      <c r="I29" s="28">
        <v>1592</v>
      </c>
      <c r="J29" s="28">
        <v>1584</v>
      </c>
      <c r="K29" s="28">
        <v>1558</v>
      </c>
      <c r="L29" s="28">
        <v>1574</v>
      </c>
      <c r="M29" s="28">
        <v>1570</v>
      </c>
      <c r="N29" s="28"/>
      <c r="O29" s="332"/>
      <c r="P29" s="333">
        <v>1592</v>
      </c>
      <c r="R29" s="343"/>
      <c r="S29" s="322"/>
    </row>
    <row r="30" spans="2:19" ht="15.75" x14ac:dyDescent="0.25">
      <c r="B30" s="728"/>
      <c r="C30" s="327" t="s">
        <v>239</v>
      </c>
      <c r="D30" s="28">
        <v>1184</v>
      </c>
      <c r="E30" s="28">
        <v>1202</v>
      </c>
      <c r="F30" s="28">
        <v>1207</v>
      </c>
      <c r="G30" s="28">
        <v>1164</v>
      </c>
      <c r="H30" s="28">
        <v>1150</v>
      </c>
      <c r="I30" s="28">
        <v>1157</v>
      </c>
      <c r="J30" s="28">
        <v>1135</v>
      </c>
      <c r="K30" s="28">
        <v>1111</v>
      </c>
      <c r="L30" s="28">
        <v>1113</v>
      </c>
      <c r="M30" s="28">
        <v>1116</v>
      </c>
      <c r="N30" s="28"/>
      <c r="O30" s="332"/>
      <c r="P30" s="333">
        <v>1154</v>
      </c>
      <c r="R30" s="343"/>
      <c r="S30" s="322"/>
    </row>
    <row r="31" spans="2:19" ht="15.75" x14ac:dyDescent="0.25">
      <c r="B31" s="728"/>
      <c r="C31" s="327" t="s">
        <v>240</v>
      </c>
      <c r="D31" s="28">
        <v>3920</v>
      </c>
      <c r="E31" s="28">
        <v>4003</v>
      </c>
      <c r="F31" s="28">
        <v>3923</v>
      </c>
      <c r="G31" s="28">
        <v>3860</v>
      </c>
      <c r="H31" s="28">
        <v>3824</v>
      </c>
      <c r="I31" s="28">
        <v>3956</v>
      </c>
      <c r="J31" s="28">
        <v>3956</v>
      </c>
      <c r="K31" s="28">
        <v>3895</v>
      </c>
      <c r="L31" s="28">
        <v>3914</v>
      </c>
      <c r="M31" s="28">
        <v>3932</v>
      </c>
      <c r="N31" s="28"/>
      <c r="O31" s="332"/>
      <c r="P31" s="333">
        <v>3918</v>
      </c>
      <c r="Q31" s="360"/>
      <c r="R31" s="343"/>
      <c r="S31" s="322"/>
    </row>
    <row r="32" spans="2:19" ht="15.75" x14ac:dyDescent="0.25">
      <c r="B32" s="728"/>
      <c r="C32" s="327" t="s">
        <v>246</v>
      </c>
      <c r="D32" s="28">
        <v>7076</v>
      </c>
      <c r="E32" s="28">
        <v>7180</v>
      </c>
      <c r="F32" s="28">
        <v>7099</v>
      </c>
      <c r="G32" s="28">
        <v>6855</v>
      </c>
      <c r="H32" s="28">
        <v>6769</v>
      </c>
      <c r="I32" s="28">
        <v>6971</v>
      </c>
      <c r="J32" s="28">
        <v>6966</v>
      </c>
      <c r="K32" s="28">
        <v>6942</v>
      </c>
      <c r="L32" s="28">
        <v>6945</v>
      </c>
      <c r="M32" s="28">
        <v>6771</v>
      </c>
      <c r="N32" s="28"/>
      <c r="O32" s="332"/>
      <c r="P32" s="333">
        <v>6957</v>
      </c>
      <c r="Q32" s="347"/>
      <c r="R32" s="343"/>
      <c r="S32" s="322"/>
    </row>
    <row r="33" spans="2:19" ht="15.75" x14ac:dyDescent="0.25">
      <c r="B33" s="728"/>
      <c r="C33" s="327" t="s">
        <v>250</v>
      </c>
      <c r="D33" s="28">
        <v>824</v>
      </c>
      <c r="E33" s="28">
        <v>823</v>
      </c>
      <c r="F33" s="28">
        <v>807</v>
      </c>
      <c r="G33" s="28">
        <v>775</v>
      </c>
      <c r="H33" s="28">
        <v>761</v>
      </c>
      <c r="I33" s="28">
        <v>776</v>
      </c>
      <c r="J33" s="28">
        <v>765</v>
      </c>
      <c r="K33" s="28">
        <v>752</v>
      </c>
      <c r="L33" s="28">
        <v>788</v>
      </c>
      <c r="M33" s="28">
        <v>797</v>
      </c>
      <c r="N33" s="28"/>
      <c r="O33" s="332"/>
      <c r="P33" s="333">
        <v>787</v>
      </c>
      <c r="R33" s="343"/>
      <c r="S33" s="322"/>
    </row>
    <row r="34" spans="2:19" ht="15.75" x14ac:dyDescent="0.25">
      <c r="B34" s="728"/>
      <c r="C34" s="327" t="s">
        <v>260</v>
      </c>
      <c r="D34" s="28">
        <v>573</v>
      </c>
      <c r="E34" s="28">
        <v>560</v>
      </c>
      <c r="F34" s="28">
        <v>548</v>
      </c>
      <c r="G34" s="28">
        <v>552</v>
      </c>
      <c r="H34" s="28">
        <v>549</v>
      </c>
      <c r="I34" s="28">
        <v>556</v>
      </c>
      <c r="J34" s="28">
        <v>554</v>
      </c>
      <c r="K34" s="28">
        <v>544</v>
      </c>
      <c r="L34" s="28">
        <v>552</v>
      </c>
      <c r="M34" s="28">
        <v>551</v>
      </c>
      <c r="N34" s="28"/>
      <c r="O34" s="332"/>
      <c r="P34" s="333">
        <v>554</v>
      </c>
      <c r="R34" s="343"/>
      <c r="S34" s="322"/>
    </row>
    <row r="35" spans="2:19" ht="15.75" x14ac:dyDescent="0.25">
      <c r="B35" s="728"/>
      <c r="C35" s="327" t="s">
        <v>263</v>
      </c>
      <c r="D35" s="28">
        <v>1042</v>
      </c>
      <c r="E35" s="28">
        <v>1049</v>
      </c>
      <c r="F35" s="28">
        <v>1048</v>
      </c>
      <c r="G35" s="28">
        <v>1006</v>
      </c>
      <c r="H35" s="28">
        <v>977</v>
      </c>
      <c r="I35" s="28">
        <v>1016</v>
      </c>
      <c r="J35" s="28">
        <v>1035</v>
      </c>
      <c r="K35" s="28">
        <v>993</v>
      </c>
      <c r="L35" s="28">
        <v>957</v>
      </c>
      <c r="M35" s="28">
        <v>976</v>
      </c>
      <c r="N35" s="28"/>
      <c r="O35" s="332"/>
      <c r="P35" s="333">
        <v>1010</v>
      </c>
      <c r="R35" s="343"/>
      <c r="S35" s="322"/>
    </row>
    <row r="36" spans="2:19" ht="15.75" x14ac:dyDescent="0.25">
      <c r="B36" s="728"/>
      <c r="C36" s="327" t="s">
        <v>264</v>
      </c>
      <c r="D36" s="28">
        <v>59339</v>
      </c>
      <c r="E36" s="28">
        <v>59750</v>
      </c>
      <c r="F36" s="28">
        <v>58838</v>
      </c>
      <c r="G36" s="28">
        <v>56418</v>
      </c>
      <c r="H36" s="28">
        <v>55316</v>
      </c>
      <c r="I36" s="28">
        <v>56296</v>
      </c>
      <c r="J36" s="28">
        <v>55566</v>
      </c>
      <c r="K36" s="28">
        <v>54919</v>
      </c>
      <c r="L36" s="28">
        <v>54963</v>
      </c>
      <c r="M36" s="28">
        <v>53963</v>
      </c>
      <c r="N36" s="28"/>
      <c r="O36" s="332"/>
      <c r="P36" s="333">
        <v>56537</v>
      </c>
      <c r="Q36" s="322"/>
      <c r="R36" s="343"/>
      <c r="S36" s="322"/>
    </row>
    <row r="37" spans="2:19" ht="15.75" x14ac:dyDescent="0.25">
      <c r="B37" s="728"/>
      <c r="C37" s="327" t="s">
        <v>265</v>
      </c>
      <c r="D37" s="28">
        <v>2202</v>
      </c>
      <c r="E37" s="28">
        <v>2234</v>
      </c>
      <c r="F37" s="28">
        <v>2244</v>
      </c>
      <c r="G37" s="28">
        <v>2171</v>
      </c>
      <c r="H37" s="28">
        <v>2104</v>
      </c>
      <c r="I37" s="28">
        <v>2108</v>
      </c>
      <c r="J37" s="28">
        <v>2083</v>
      </c>
      <c r="K37" s="28">
        <v>2070</v>
      </c>
      <c r="L37" s="28">
        <v>2104</v>
      </c>
      <c r="M37" s="28">
        <v>2088</v>
      </c>
      <c r="N37" s="28"/>
      <c r="O37" s="332"/>
      <c r="P37" s="333">
        <v>2141</v>
      </c>
      <c r="Q37" s="322"/>
      <c r="R37" s="343"/>
      <c r="S37" s="322"/>
    </row>
    <row r="38" spans="2:19" ht="19.5" thickBot="1" x14ac:dyDescent="0.3">
      <c r="B38" s="728"/>
      <c r="C38" s="328" t="s">
        <v>275</v>
      </c>
      <c r="D38" s="334">
        <v>261</v>
      </c>
      <c r="E38" s="334">
        <v>404</v>
      </c>
      <c r="F38" s="334">
        <v>440</v>
      </c>
      <c r="G38" s="334">
        <v>450</v>
      </c>
      <c r="H38" s="334">
        <v>402</v>
      </c>
      <c r="I38" s="334">
        <v>219</v>
      </c>
      <c r="J38" s="334">
        <v>214</v>
      </c>
      <c r="K38" s="334">
        <v>205</v>
      </c>
      <c r="L38" s="334">
        <v>327</v>
      </c>
      <c r="M38" s="334">
        <v>340</v>
      </c>
      <c r="N38" s="334"/>
      <c r="O38" s="335"/>
      <c r="P38" s="336">
        <v>326</v>
      </c>
      <c r="R38" s="343"/>
      <c r="S38" s="322"/>
    </row>
    <row r="39" spans="2:19" ht="17.25" thickTop="1" thickBot="1" x14ac:dyDescent="0.3">
      <c r="B39" s="729"/>
      <c r="C39" s="337" t="s">
        <v>38</v>
      </c>
      <c r="D39" s="338">
        <v>78434</v>
      </c>
      <c r="E39" s="338">
        <v>79225</v>
      </c>
      <c r="F39" s="338">
        <v>78185</v>
      </c>
      <c r="G39" s="338">
        <v>75257</v>
      </c>
      <c r="H39" s="338">
        <v>73806</v>
      </c>
      <c r="I39" s="338">
        <v>75046</v>
      </c>
      <c r="J39" s="338">
        <v>74249</v>
      </c>
      <c r="K39" s="338">
        <v>73383</v>
      </c>
      <c r="L39" s="338">
        <v>73629</v>
      </c>
      <c r="M39" s="338">
        <v>72502</v>
      </c>
      <c r="N39" s="338"/>
      <c r="O39" s="339"/>
      <c r="P39" s="340">
        <v>75372</v>
      </c>
      <c r="Q39" s="13"/>
      <c r="R39" s="343"/>
      <c r="S39" s="322"/>
    </row>
    <row r="40" spans="2:19" ht="15.75" x14ac:dyDescent="0.25">
      <c r="B40" s="727" t="s">
        <v>329</v>
      </c>
      <c r="C40" s="326" t="s">
        <v>202</v>
      </c>
      <c r="D40" s="329">
        <v>113613</v>
      </c>
      <c r="E40" s="329">
        <v>124310</v>
      </c>
      <c r="F40" s="329">
        <v>122502</v>
      </c>
      <c r="G40" s="329">
        <v>115607</v>
      </c>
      <c r="H40" s="329">
        <v>112712</v>
      </c>
      <c r="I40" s="329">
        <v>114785</v>
      </c>
      <c r="J40" s="329">
        <v>112699</v>
      </c>
      <c r="K40" s="329">
        <v>111996</v>
      </c>
      <c r="L40" s="329">
        <v>111441</v>
      </c>
      <c r="M40" s="329">
        <v>109276</v>
      </c>
      <c r="N40" s="329"/>
      <c r="O40" s="330"/>
      <c r="P40" s="331">
        <v>114894</v>
      </c>
      <c r="Q40" s="322"/>
      <c r="R40" s="343"/>
      <c r="S40" s="322"/>
    </row>
    <row r="41" spans="2:19" ht="15.75" x14ac:dyDescent="0.25">
      <c r="B41" s="728"/>
      <c r="C41" s="327" t="s">
        <v>204</v>
      </c>
      <c r="D41" s="28">
        <v>106244</v>
      </c>
      <c r="E41" s="28">
        <v>117429</v>
      </c>
      <c r="F41" s="28">
        <v>115816</v>
      </c>
      <c r="G41" s="28">
        <v>110122</v>
      </c>
      <c r="H41" s="28">
        <v>107910</v>
      </c>
      <c r="I41" s="28">
        <v>110133</v>
      </c>
      <c r="J41" s="28">
        <v>108377</v>
      </c>
      <c r="K41" s="28">
        <v>107489</v>
      </c>
      <c r="L41" s="28">
        <v>107805</v>
      </c>
      <c r="M41" s="28">
        <v>105917</v>
      </c>
      <c r="N41" s="28"/>
      <c r="O41" s="332"/>
      <c r="P41" s="333">
        <v>109724</v>
      </c>
      <c r="Q41" s="322"/>
      <c r="R41" s="343"/>
      <c r="S41" s="322"/>
    </row>
    <row r="42" spans="2:19" ht="15.75" x14ac:dyDescent="0.25">
      <c r="B42" s="728"/>
      <c r="C42" s="327" t="s">
        <v>220</v>
      </c>
      <c r="D42" s="28">
        <v>21570</v>
      </c>
      <c r="E42" s="28">
        <v>23799</v>
      </c>
      <c r="F42" s="28">
        <v>23670</v>
      </c>
      <c r="G42" s="28">
        <v>22690</v>
      </c>
      <c r="H42" s="28">
        <v>22209</v>
      </c>
      <c r="I42" s="28">
        <v>22478</v>
      </c>
      <c r="J42" s="28">
        <v>22026</v>
      </c>
      <c r="K42" s="28">
        <v>21949</v>
      </c>
      <c r="L42" s="28">
        <v>22150</v>
      </c>
      <c r="M42" s="28">
        <v>21907</v>
      </c>
      <c r="N42" s="28"/>
      <c r="O42" s="332"/>
      <c r="P42" s="333">
        <v>22445</v>
      </c>
      <c r="Q42" s="322"/>
      <c r="R42" s="343"/>
      <c r="S42" s="322"/>
    </row>
    <row r="43" spans="2:19" ht="19.5" thickBot="1" x14ac:dyDescent="0.3">
      <c r="B43" s="728"/>
      <c r="C43" s="328" t="s">
        <v>275</v>
      </c>
      <c r="D43" s="334">
        <v>1025</v>
      </c>
      <c r="E43" s="334">
        <v>1622</v>
      </c>
      <c r="F43" s="334">
        <v>1669</v>
      </c>
      <c r="G43" s="334">
        <v>1585</v>
      </c>
      <c r="H43" s="334">
        <v>1597</v>
      </c>
      <c r="I43" s="334">
        <v>1046</v>
      </c>
      <c r="J43" s="334">
        <v>889</v>
      </c>
      <c r="K43" s="334">
        <v>921</v>
      </c>
      <c r="L43" s="334">
        <v>1285</v>
      </c>
      <c r="M43" s="334">
        <v>1312</v>
      </c>
      <c r="N43" s="334"/>
      <c r="O43" s="335"/>
      <c r="P43" s="336">
        <v>1295</v>
      </c>
      <c r="R43" s="343"/>
      <c r="S43" s="322"/>
    </row>
    <row r="44" spans="2:19" ht="17.25" thickTop="1" thickBot="1" x14ac:dyDescent="0.3">
      <c r="B44" s="729"/>
      <c r="C44" s="337" t="s">
        <v>38</v>
      </c>
      <c r="D44" s="338">
        <v>242452</v>
      </c>
      <c r="E44" s="338">
        <v>267160</v>
      </c>
      <c r="F44" s="338">
        <v>263657</v>
      </c>
      <c r="G44" s="338">
        <v>250004</v>
      </c>
      <c r="H44" s="338">
        <v>244428</v>
      </c>
      <c r="I44" s="338">
        <v>248442</v>
      </c>
      <c r="J44" s="338">
        <v>243991</v>
      </c>
      <c r="K44" s="338">
        <v>242355</v>
      </c>
      <c r="L44" s="338">
        <v>242681</v>
      </c>
      <c r="M44" s="338">
        <v>238412</v>
      </c>
      <c r="N44" s="338"/>
      <c r="O44" s="339"/>
      <c r="P44" s="340">
        <v>248358</v>
      </c>
      <c r="Q44" s="13"/>
      <c r="R44" s="347"/>
      <c r="S44" s="322"/>
    </row>
    <row r="45" spans="2:19" ht="15.75" x14ac:dyDescent="0.25">
      <c r="B45" s="727" t="s">
        <v>269</v>
      </c>
      <c r="C45" s="326" t="s">
        <v>203</v>
      </c>
      <c r="D45" s="329">
        <v>6245</v>
      </c>
      <c r="E45" s="329">
        <v>6295</v>
      </c>
      <c r="F45" s="329">
        <v>6193</v>
      </c>
      <c r="G45" s="329">
        <v>6035</v>
      </c>
      <c r="H45" s="329">
        <v>5996</v>
      </c>
      <c r="I45" s="329">
        <v>6142</v>
      </c>
      <c r="J45" s="329">
        <v>6092</v>
      </c>
      <c r="K45" s="329">
        <v>6093</v>
      </c>
      <c r="L45" s="329">
        <v>6085</v>
      </c>
      <c r="M45" s="329">
        <v>6048</v>
      </c>
      <c r="N45" s="329"/>
      <c r="O45" s="330"/>
      <c r="P45" s="331">
        <v>6122</v>
      </c>
      <c r="Q45" s="347"/>
      <c r="R45" s="343"/>
      <c r="S45" s="322"/>
    </row>
    <row r="46" spans="2:19" ht="15.75" x14ac:dyDescent="0.25">
      <c r="B46" s="728"/>
      <c r="C46" s="327" t="s">
        <v>206</v>
      </c>
      <c r="D46" s="28">
        <v>1115</v>
      </c>
      <c r="E46" s="28">
        <v>1153</v>
      </c>
      <c r="F46" s="28">
        <v>1146</v>
      </c>
      <c r="G46" s="28">
        <v>1126</v>
      </c>
      <c r="H46" s="28">
        <v>1139</v>
      </c>
      <c r="I46" s="28">
        <v>1143</v>
      </c>
      <c r="J46" s="28">
        <v>1141</v>
      </c>
      <c r="K46" s="28">
        <v>1126</v>
      </c>
      <c r="L46" s="28">
        <v>1127</v>
      </c>
      <c r="M46" s="28">
        <v>1122</v>
      </c>
      <c r="N46" s="28"/>
      <c r="O46" s="332"/>
      <c r="P46" s="333">
        <v>1134</v>
      </c>
      <c r="Q46" s="455"/>
      <c r="R46" s="343"/>
      <c r="S46" s="322"/>
    </row>
    <row r="47" spans="2:19" ht="15.75" x14ac:dyDescent="0.25">
      <c r="B47" s="728"/>
      <c r="C47" s="327" t="s">
        <v>207</v>
      </c>
      <c r="D47" s="28">
        <v>1530</v>
      </c>
      <c r="E47" s="28">
        <v>1553</v>
      </c>
      <c r="F47" s="28">
        <v>1543</v>
      </c>
      <c r="G47" s="28">
        <v>1501</v>
      </c>
      <c r="H47" s="28">
        <v>1478</v>
      </c>
      <c r="I47" s="28">
        <v>1510</v>
      </c>
      <c r="J47" s="28">
        <v>1506</v>
      </c>
      <c r="K47" s="28">
        <v>1524</v>
      </c>
      <c r="L47" s="28">
        <v>1494</v>
      </c>
      <c r="M47" s="28">
        <v>1464</v>
      </c>
      <c r="N47" s="28"/>
      <c r="O47" s="332"/>
      <c r="P47" s="333">
        <v>1510</v>
      </c>
      <c r="R47" s="343"/>
      <c r="S47" s="322"/>
    </row>
    <row r="48" spans="2:19" ht="15.75" x14ac:dyDescent="0.25">
      <c r="B48" s="728"/>
      <c r="C48" s="327" t="s">
        <v>210</v>
      </c>
      <c r="D48" s="28">
        <v>3268</v>
      </c>
      <c r="E48" s="28">
        <v>3294</v>
      </c>
      <c r="F48" s="28">
        <v>3301</v>
      </c>
      <c r="G48" s="28">
        <v>3140</v>
      </c>
      <c r="H48" s="28">
        <v>3081</v>
      </c>
      <c r="I48" s="28">
        <v>3092</v>
      </c>
      <c r="J48" s="28">
        <v>3060</v>
      </c>
      <c r="K48" s="28">
        <v>3055</v>
      </c>
      <c r="L48" s="28">
        <v>3084</v>
      </c>
      <c r="M48" s="28">
        <v>3086</v>
      </c>
      <c r="N48" s="28"/>
      <c r="O48" s="332"/>
      <c r="P48" s="333">
        <v>3146</v>
      </c>
      <c r="Q48" s="322"/>
      <c r="R48" s="343"/>
      <c r="S48" s="322"/>
    </row>
    <row r="49" spans="2:19" ht="15.75" x14ac:dyDescent="0.25">
      <c r="B49" s="728"/>
      <c r="C49" s="327" t="s">
        <v>213</v>
      </c>
      <c r="D49" s="28">
        <v>2971</v>
      </c>
      <c r="E49" s="28">
        <v>2963</v>
      </c>
      <c r="F49" s="28">
        <v>2922</v>
      </c>
      <c r="G49" s="28">
        <v>2871</v>
      </c>
      <c r="H49" s="28">
        <v>2832</v>
      </c>
      <c r="I49" s="28">
        <v>2849</v>
      </c>
      <c r="J49" s="28">
        <v>2838</v>
      </c>
      <c r="K49" s="28">
        <v>2768</v>
      </c>
      <c r="L49" s="28">
        <v>2772</v>
      </c>
      <c r="M49" s="28">
        <v>2777</v>
      </c>
      <c r="N49" s="28"/>
      <c r="O49" s="332"/>
      <c r="P49" s="333">
        <v>2856</v>
      </c>
      <c r="Q49" s="322"/>
      <c r="R49" s="343"/>
      <c r="S49" s="322"/>
    </row>
    <row r="50" spans="2:19" ht="15.75" x14ac:dyDescent="0.25">
      <c r="B50" s="728"/>
      <c r="C50" s="327" t="s">
        <v>214</v>
      </c>
      <c r="D50" s="28">
        <v>1700</v>
      </c>
      <c r="E50" s="28">
        <v>1727</v>
      </c>
      <c r="F50" s="28">
        <v>1720</v>
      </c>
      <c r="G50" s="28">
        <v>1698</v>
      </c>
      <c r="H50" s="28">
        <v>1694</v>
      </c>
      <c r="I50" s="28">
        <v>1705</v>
      </c>
      <c r="J50" s="28">
        <v>1696</v>
      </c>
      <c r="K50" s="28">
        <v>1693</v>
      </c>
      <c r="L50" s="28">
        <v>1685</v>
      </c>
      <c r="M50" s="28">
        <v>1690</v>
      </c>
      <c r="N50" s="28"/>
      <c r="O50" s="332"/>
      <c r="P50" s="333">
        <v>1701</v>
      </c>
      <c r="R50" s="343"/>
      <c r="S50" s="322"/>
    </row>
    <row r="51" spans="2:19" ht="15.75" x14ac:dyDescent="0.25">
      <c r="B51" s="728"/>
      <c r="C51" s="327" t="s">
        <v>215</v>
      </c>
      <c r="D51" s="28">
        <v>1264</v>
      </c>
      <c r="E51" s="28">
        <v>1288</v>
      </c>
      <c r="F51" s="28">
        <v>1278</v>
      </c>
      <c r="G51" s="28">
        <v>1265</v>
      </c>
      <c r="H51" s="28">
        <v>1265</v>
      </c>
      <c r="I51" s="28">
        <v>1284</v>
      </c>
      <c r="J51" s="28">
        <v>1301</v>
      </c>
      <c r="K51" s="28">
        <v>1303</v>
      </c>
      <c r="L51" s="28">
        <v>1311</v>
      </c>
      <c r="M51" s="28">
        <v>1302</v>
      </c>
      <c r="N51" s="28"/>
      <c r="O51" s="332"/>
      <c r="P51" s="333">
        <v>1286</v>
      </c>
      <c r="R51" s="343"/>
      <c r="S51" s="322"/>
    </row>
    <row r="52" spans="2:19" ht="15.75" x14ac:dyDescent="0.25">
      <c r="B52" s="728"/>
      <c r="C52" s="327" t="s">
        <v>216</v>
      </c>
      <c r="D52" s="28">
        <v>791</v>
      </c>
      <c r="E52" s="28">
        <v>785</v>
      </c>
      <c r="F52" s="28">
        <v>766</v>
      </c>
      <c r="G52" s="28">
        <v>772</v>
      </c>
      <c r="H52" s="28">
        <v>761</v>
      </c>
      <c r="I52" s="28">
        <v>776</v>
      </c>
      <c r="J52" s="28">
        <v>779</v>
      </c>
      <c r="K52" s="28">
        <v>753</v>
      </c>
      <c r="L52" s="28">
        <v>771</v>
      </c>
      <c r="M52" s="28">
        <v>766</v>
      </c>
      <c r="N52" s="28"/>
      <c r="O52" s="332"/>
      <c r="P52" s="333">
        <v>772</v>
      </c>
      <c r="R52" s="343"/>
      <c r="S52" s="322"/>
    </row>
    <row r="53" spans="2:19" ht="15.75" x14ac:dyDescent="0.25">
      <c r="B53" s="728"/>
      <c r="C53" s="327" t="s">
        <v>224</v>
      </c>
      <c r="D53" s="28">
        <v>11352</v>
      </c>
      <c r="E53" s="28">
        <v>11508</v>
      </c>
      <c r="F53" s="28">
        <v>11407</v>
      </c>
      <c r="G53" s="28">
        <v>11067</v>
      </c>
      <c r="H53" s="28">
        <v>10999</v>
      </c>
      <c r="I53" s="28">
        <v>11293</v>
      </c>
      <c r="J53" s="28">
        <v>11234</v>
      </c>
      <c r="K53" s="28">
        <v>11160</v>
      </c>
      <c r="L53" s="28">
        <v>11234</v>
      </c>
      <c r="M53" s="28">
        <v>11176</v>
      </c>
      <c r="N53" s="28"/>
      <c r="O53" s="332"/>
      <c r="P53" s="333">
        <v>11243</v>
      </c>
      <c r="Q53" s="322"/>
      <c r="R53" s="343"/>
      <c r="S53" s="322"/>
    </row>
    <row r="54" spans="2:19" ht="15.75" x14ac:dyDescent="0.25">
      <c r="B54" s="728"/>
      <c r="C54" s="327" t="s">
        <v>230</v>
      </c>
      <c r="D54" s="28">
        <v>2506</v>
      </c>
      <c r="E54" s="28">
        <v>2544</v>
      </c>
      <c r="F54" s="28">
        <v>2527</v>
      </c>
      <c r="G54" s="28">
        <v>2454</v>
      </c>
      <c r="H54" s="28">
        <v>2448</v>
      </c>
      <c r="I54" s="28">
        <v>2491</v>
      </c>
      <c r="J54" s="28">
        <v>2469</v>
      </c>
      <c r="K54" s="28">
        <v>2486</v>
      </c>
      <c r="L54" s="28">
        <v>2500</v>
      </c>
      <c r="M54" s="28">
        <v>2483</v>
      </c>
      <c r="N54" s="28"/>
      <c r="O54" s="332"/>
      <c r="P54" s="333">
        <v>2491</v>
      </c>
      <c r="R54" s="343"/>
      <c r="S54" s="322"/>
    </row>
    <row r="55" spans="2:19" ht="15.75" x14ac:dyDescent="0.25">
      <c r="B55" s="728"/>
      <c r="C55" s="327" t="s">
        <v>233</v>
      </c>
      <c r="D55" s="28">
        <v>344</v>
      </c>
      <c r="E55" s="28">
        <v>346</v>
      </c>
      <c r="F55" s="28">
        <v>333</v>
      </c>
      <c r="G55" s="28">
        <v>324</v>
      </c>
      <c r="H55" s="28">
        <v>317</v>
      </c>
      <c r="I55" s="28">
        <v>328</v>
      </c>
      <c r="J55" s="28">
        <v>333</v>
      </c>
      <c r="K55" s="28">
        <v>320</v>
      </c>
      <c r="L55" s="28">
        <v>308</v>
      </c>
      <c r="M55" s="28">
        <v>300</v>
      </c>
      <c r="N55" s="28"/>
      <c r="O55" s="332"/>
      <c r="P55" s="333">
        <v>325</v>
      </c>
      <c r="R55" s="343"/>
      <c r="S55" s="322"/>
    </row>
    <row r="56" spans="2:19" ht="15.75" x14ac:dyDescent="0.25">
      <c r="B56" s="728"/>
      <c r="C56" s="327" t="s">
        <v>236</v>
      </c>
      <c r="D56" s="28">
        <v>1322</v>
      </c>
      <c r="E56" s="28">
        <v>1364</v>
      </c>
      <c r="F56" s="28">
        <v>1336</v>
      </c>
      <c r="G56" s="28">
        <v>1247</v>
      </c>
      <c r="H56" s="28">
        <v>1250</v>
      </c>
      <c r="I56" s="28">
        <v>1245</v>
      </c>
      <c r="J56" s="28">
        <v>1243</v>
      </c>
      <c r="K56" s="28">
        <v>1249</v>
      </c>
      <c r="L56" s="28">
        <v>1249</v>
      </c>
      <c r="M56" s="28">
        <v>1249</v>
      </c>
      <c r="N56" s="28"/>
      <c r="O56" s="332"/>
      <c r="P56" s="333">
        <v>1275</v>
      </c>
      <c r="R56" s="343"/>
      <c r="S56" s="322"/>
    </row>
    <row r="57" spans="2:19" ht="15.75" x14ac:dyDescent="0.25">
      <c r="B57" s="728"/>
      <c r="C57" s="327" t="s">
        <v>238</v>
      </c>
      <c r="D57" s="28">
        <v>5059</v>
      </c>
      <c r="E57" s="28">
        <v>5105</v>
      </c>
      <c r="F57" s="28">
        <v>5089</v>
      </c>
      <c r="G57" s="28">
        <v>4956</v>
      </c>
      <c r="H57" s="28">
        <v>4900</v>
      </c>
      <c r="I57" s="28">
        <v>4990</v>
      </c>
      <c r="J57" s="28">
        <v>4961</v>
      </c>
      <c r="K57" s="28">
        <v>4953</v>
      </c>
      <c r="L57" s="28">
        <v>4947</v>
      </c>
      <c r="M57" s="28">
        <v>4957</v>
      </c>
      <c r="N57" s="28"/>
      <c r="O57" s="332"/>
      <c r="P57" s="333">
        <v>4992</v>
      </c>
      <c r="R57" s="343"/>
      <c r="S57" s="322"/>
    </row>
    <row r="58" spans="2:19" ht="15.75" x14ac:dyDescent="0.25">
      <c r="B58" s="728"/>
      <c r="C58" s="327" t="s">
        <v>242</v>
      </c>
      <c r="D58" s="28">
        <v>156</v>
      </c>
      <c r="E58" s="28">
        <v>158</v>
      </c>
      <c r="F58" s="28">
        <v>149</v>
      </c>
      <c r="G58" s="28">
        <v>143</v>
      </c>
      <c r="H58" s="28">
        <v>141</v>
      </c>
      <c r="I58" s="28">
        <v>145</v>
      </c>
      <c r="J58" s="28">
        <v>146</v>
      </c>
      <c r="K58" s="28">
        <v>143</v>
      </c>
      <c r="L58" s="28">
        <v>140</v>
      </c>
      <c r="M58" s="28">
        <v>133</v>
      </c>
      <c r="N58" s="28"/>
      <c r="O58" s="332"/>
      <c r="P58" s="333">
        <v>145</v>
      </c>
      <c r="R58" s="343"/>
      <c r="S58" s="322"/>
    </row>
    <row r="59" spans="2:19" ht="15.75" x14ac:dyDescent="0.25">
      <c r="B59" s="728"/>
      <c r="C59" s="327" t="s">
        <v>247</v>
      </c>
      <c r="D59" s="28">
        <v>6847</v>
      </c>
      <c r="E59" s="28">
        <v>6914</v>
      </c>
      <c r="F59" s="28">
        <v>6893</v>
      </c>
      <c r="G59" s="28">
        <v>6720</v>
      </c>
      <c r="H59" s="28">
        <v>6654</v>
      </c>
      <c r="I59" s="28">
        <v>6750</v>
      </c>
      <c r="J59" s="28">
        <v>6702</v>
      </c>
      <c r="K59" s="28">
        <v>6606</v>
      </c>
      <c r="L59" s="28">
        <v>6596</v>
      </c>
      <c r="M59" s="28">
        <v>6523</v>
      </c>
      <c r="N59" s="28"/>
      <c r="O59" s="332"/>
      <c r="P59" s="333">
        <v>6721</v>
      </c>
      <c r="Q59" s="322"/>
      <c r="R59" s="343"/>
      <c r="S59" s="322"/>
    </row>
    <row r="60" spans="2:19" ht="15.75" x14ac:dyDescent="0.25">
      <c r="B60" s="728"/>
      <c r="C60" s="327" t="s">
        <v>252</v>
      </c>
      <c r="D60" s="28">
        <v>4472</v>
      </c>
      <c r="E60" s="28">
        <v>4475</v>
      </c>
      <c r="F60" s="28">
        <v>4400</v>
      </c>
      <c r="G60" s="28">
        <v>4270</v>
      </c>
      <c r="H60" s="28">
        <v>4156</v>
      </c>
      <c r="I60" s="28">
        <v>4250</v>
      </c>
      <c r="J60" s="28">
        <v>4244</v>
      </c>
      <c r="K60" s="28">
        <v>4210</v>
      </c>
      <c r="L60" s="28">
        <v>4196</v>
      </c>
      <c r="M60" s="28">
        <v>4183</v>
      </c>
      <c r="N60" s="28"/>
      <c r="O60" s="332"/>
      <c r="P60" s="333">
        <v>4286</v>
      </c>
      <c r="R60" s="343"/>
      <c r="S60" s="322"/>
    </row>
    <row r="61" spans="2:19" ht="15.75" x14ac:dyDescent="0.25">
      <c r="B61" s="728"/>
      <c r="C61" s="327" t="s">
        <v>253</v>
      </c>
      <c r="D61" s="28">
        <v>60588</v>
      </c>
      <c r="E61" s="28">
        <v>61268</v>
      </c>
      <c r="F61" s="28">
        <v>60935</v>
      </c>
      <c r="G61" s="28">
        <v>59131</v>
      </c>
      <c r="H61" s="28">
        <v>58307</v>
      </c>
      <c r="I61" s="28">
        <v>59170</v>
      </c>
      <c r="J61" s="28">
        <v>58584</v>
      </c>
      <c r="K61" s="28">
        <v>58350</v>
      </c>
      <c r="L61" s="28">
        <v>58291</v>
      </c>
      <c r="M61" s="28">
        <v>57870</v>
      </c>
      <c r="N61" s="28"/>
      <c r="O61" s="332"/>
      <c r="P61" s="333">
        <v>59249</v>
      </c>
      <c r="Q61" s="322"/>
      <c r="R61" s="343"/>
      <c r="S61" s="322"/>
    </row>
    <row r="62" spans="2:19" ht="15.75" x14ac:dyDescent="0.25">
      <c r="B62" s="728"/>
      <c r="C62" s="327" t="s">
        <v>255</v>
      </c>
      <c r="D62" s="28">
        <v>3935</v>
      </c>
      <c r="E62" s="28">
        <v>3978</v>
      </c>
      <c r="F62" s="28">
        <v>3914</v>
      </c>
      <c r="G62" s="28">
        <v>3815</v>
      </c>
      <c r="H62" s="28">
        <v>3739</v>
      </c>
      <c r="I62" s="28">
        <v>3766</v>
      </c>
      <c r="J62" s="28">
        <v>3733</v>
      </c>
      <c r="K62" s="28">
        <v>3741</v>
      </c>
      <c r="L62" s="28">
        <v>3704</v>
      </c>
      <c r="M62" s="28">
        <v>3680</v>
      </c>
      <c r="N62" s="28"/>
      <c r="O62" s="332"/>
      <c r="P62" s="333">
        <v>3801</v>
      </c>
      <c r="Q62" s="322"/>
      <c r="R62" s="343"/>
      <c r="S62" s="322"/>
    </row>
    <row r="63" spans="2:19" ht="15.75" x14ac:dyDescent="0.25">
      <c r="B63" s="728"/>
      <c r="C63" s="327" t="s">
        <v>257</v>
      </c>
      <c r="D63" s="28">
        <v>1923</v>
      </c>
      <c r="E63" s="28">
        <v>1916</v>
      </c>
      <c r="F63" s="28">
        <v>1916</v>
      </c>
      <c r="G63" s="28">
        <v>1882</v>
      </c>
      <c r="H63" s="28">
        <v>1848</v>
      </c>
      <c r="I63" s="28">
        <v>1866</v>
      </c>
      <c r="J63" s="28">
        <v>1877</v>
      </c>
      <c r="K63" s="28">
        <v>1890</v>
      </c>
      <c r="L63" s="28">
        <v>1905</v>
      </c>
      <c r="M63" s="28">
        <v>1927</v>
      </c>
      <c r="N63" s="28"/>
      <c r="O63" s="332"/>
      <c r="P63" s="333">
        <v>1895</v>
      </c>
      <c r="Q63" s="322"/>
      <c r="R63" s="343"/>
      <c r="S63" s="322"/>
    </row>
    <row r="64" spans="2:19" ht="19.5" thickBot="1" x14ac:dyDescent="0.3">
      <c r="B64" s="728"/>
      <c r="C64" s="328" t="s">
        <v>275</v>
      </c>
      <c r="D64" s="334">
        <v>328</v>
      </c>
      <c r="E64" s="334">
        <v>506</v>
      </c>
      <c r="F64" s="334">
        <v>510</v>
      </c>
      <c r="G64" s="334">
        <v>471</v>
      </c>
      <c r="H64" s="334">
        <v>480</v>
      </c>
      <c r="I64" s="334">
        <v>297</v>
      </c>
      <c r="J64" s="334">
        <v>210</v>
      </c>
      <c r="K64" s="334">
        <v>209</v>
      </c>
      <c r="L64" s="334">
        <v>305</v>
      </c>
      <c r="M64" s="334">
        <v>323</v>
      </c>
      <c r="N64" s="334"/>
      <c r="O64" s="335"/>
      <c r="P64" s="336">
        <v>364</v>
      </c>
      <c r="R64" s="343"/>
      <c r="S64" s="322"/>
    </row>
    <row r="65" spans="2:23" ht="17.25" thickTop="1" thickBot="1" x14ac:dyDescent="0.3">
      <c r="B65" s="729"/>
      <c r="C65" s="337" t="s">
        <v>38</v>
      </c>
      <c r="D65" s="338">
        <v>117716</v>
      </c>
      <c r="E65" s="338">
        <v>119140</v>
      </c>
      <c r="F65" s="338">
        <v>118278</v>
      </c>
      <c r="G65" s="338">
        <v>114888</v>
      </c>
      <c r="H65" s="338">
        <v>113485</v>
      </c>
      <c r="I65" s="338">
        <v>115092</v>
      </c>
      <c r="J65" s="338">
        <v>114149</v>
      </c>
      <c r="K65" s="338">
        <v>113632</v>
      </c>
      <c r="L65" s="338">
        <v>113704</v>
      </c>
      <c r="M65" s="338">
        <v>113059</v>
      </c>
      <c r="N65" s="338"/>
      <c r="O65" s="339"/>
      <c r="P65" s="340">
        <v>115314</v>
      </c>
      <c r="Q65" s="13"/>
      <c r="R65" s="343"/>
      <c r="S65" s="322"/>
    </row>
    <row r="66" spans="2:23" ht="15.75" x14ac:dyDescent="0.25">
      <c r="B66" s="727" t="s">
        <v>270</v>
      </c>
      <c r="C66" s="326" t="s">
        <v>218</v>
      </c>
      <c r="D66" s="329">
        <v>111483</v>
      </c>
      <c r="E66" s="329">
        <v>111518</v>
      </c>
      <c r="F66" s="329">
        <v>109585</v>
      </c>
      <c r="G66" s="329">
        <v>103825</v>
      </c>
      <c r="H66" s="329">
        <v>102032</v>
      </c>
      <c r="I66" s="329">
        <v>104856</v>
      </c>
      <c r="J66" s="329">
        <v>102260</v>
      </c>
      <c r="K66" s="329">
        <v>101253</v>
      </c>
      <c r="L66" s="329">
        <v>100316</v>
      </c>
      <c r="M66" s="329">
        <v>99975</v>
      </c>
      <c r="N66" s="329"/>
      <c r="O66" s="330"/>
      <c r="P66" s="331">
        <v>104711</v>
      </c>
      <c r="Q66" s="322"/>
      <c r="R66" s="343"/>
      <c r="S66" s="322"/>
      <c r="W66" s="324"/>
    </row>
    <row r="67" spans="2:23" ht="19.5" thickBot="1" x14ac:dyDescent="0.3">
      <c r="B67" s="728"/>
      <c r="C67" s="328" t="s">
        <v>275</v>
      </c>
      <c r="D67" s="334">
        <v>644</v>
      </c>
      <c r="E67" s="334">
        <v>809</v>
      </c>
      <c r="F67" s="334">
        <v>753</v>
      </c>
      <c r="G67" s="334">
        <v>707</v>
      </c>
      <c r="H67" s="334">
        <v>767</v>
      </c>
      <c r="I67" s="334">
        <v>922</v>
      </c>
      <c r="J67" s="334">
        <v>665</v>
      </c>
      <c r="K67" s="334">
        <v>620</v>
      </c>
      <c r="L67" s="334">
        <v>813</v>
      </c>
      <c r="M67" s="334">
        <v>872</v>
      </c>
      <c r="N67" s="334"/>
      <c r="O67" s="335"/>
      <c r="P67" s="336">
        <v>757</v>
      </c>
      <c r="R67" s="343"/>
      <c r="S67" s="322"/>
    </row>
    <row r="68" spans="2:23" ht="17.25" thickTop="1" thickBot="1" x14ac:dyDescent="0.3">
      <c r="B68" s="729"/>
      <c r="C68" s="337" t="s">
        <v>38</v>
      </c>
      <c r="D68" s="338">
        <v>112127</v>
      </c>
      <c r="E68" s="338">
        <v>112327</v>
      </c>
      <c r="F68" s="338">
        <v>110338</v>
      </c>
      <c r="G68" s="338">
        <v>104532</v>
      </c>
      <c r="H68" s="338">
        <v>102799</v>
      </c>
      <c r="I68" s="338">
        <v>105778</v>
      </c>
      <c r="J68" s="338">
        <v>102925</v>
      </c>
      <c r="K68" s="338">
        <v>101873</v>
      </c>
      <c r="L68" s="338">
        <v>101129</v>
      </c>
      <c r="M68" s="338">
        <v>100847</v>
      </c>
      <c r="N68" s="338"/>
      <c r="O68" s="339"/>
      <c r="P68" s="340">
        <v>105468</v>
      </c>
      <c r="Q68" s="13"/>
      <c r="R68" s="343"/>
      <c r="S68" s="322"/>
    </row>
    <row r="69" spans="2:23" ht="15.75" x14ac:dyDescent="0.25">
      <c r="B69" s="727" t="s">
        <v>271</v>
      </c>
      <c r="C69" s="326" t="s">
        <v>208</v>
      </c>
      <c r="D69" s="329">
        <v>45423</v>
      </c>
      <c r="E69" s="329">
        <v>45830</v>
      </c>
      <c r="F69" s="329">
        <v>45359</v>
      </c>
      <c r="G69" s="329">
        <v>43220</v>
      </c>
      <c r="H69" s="329">
        <v>42487</v>
      </c>
      <c r="I69" s="329">
        <v>42869</v>
      </c>
      <c r="J69" s="329">
        <v>42027</v>
      </c>
      <c r="K69" s="329">
        <v>41972</v>
      </c>
      <c r="L69" s="329">
        <v>42365</v>
      </c>
      <c r="M69" s="329">
        <v>41693</v>
      </c>
      <c r="N69" s="329"/>
      <c r="O69" s="330"/>
      <c r="P69" s="331">
        <v>43324</v>
      </c>
      <c r="Q69" s="322"/>
      <c r="R69" s="343"/>
      <c r="S69" s="322"/>
    </row>
    <row r="70" spans="2:23" ht="15.75" x14ac:dyDescent="0.25">
      <c r="B70" s="728"/>
      <c r="C70" s="327" t="s">
        <v>209</v>
      </c>
      <c r="D70" s="28">
        <v>5522</v>
      </c>
      <c r="E70" s="28">
        <v>5578</v>
      </c>
      <c r="F70" s="28">
        <v>5565</v>
      </c>
      <c r="G70" s="28">
        <v>5382</v>
      </c>
      <c r="H70" s="28">
        <v>5335</v>
      </c>
      <c r="I70" s="28">
        <v>5560</v>
      </c>
      <c r="J70" s="28">
        <v>5501</v>
      </c>
      <c r="K70" s="28">
        <v>5501</v>
      </c>
      <c r="L70" s="28">
        <v>5601</v>
      </c>
      <c r="M70" s="28">
        <v>5552</v>
      </c>
      <c r="N70" s="28"/>
      <c r="O70" s="332"/>
      <c r="P70" s="333">
        <v>5510</v>
      </c>
      <c r="Q70" s="322"/>
      <c r="R70" s="343"/>
      <c r="S70" s="322"/>
    </row>
    <row r="71" spans="2:23" ht="15.75" x14ac:dyDescent="0.25">
      <c r="B71" s="728"/>
      <c r="C71" s="327" t="s">
        <v>212</v>
      </c>
      <c r="D71" s="28">
        <v>1374</v>
      </c>
      <c r="E71" s="28">
        <v>1379</v>
      </c>
      <c r="F71" s="28">
        <v>1368</v>
      </c>
      <c r="G71" s="28">
        <v>1314</v>
      </c>
      <c r="H71" s="28">
        <v>1277</v>
      </c>
      <c r="I71" s="28">
        <v>1283</v>
      </c>
      <c r="J71" s="28">
        <v>1286</v>
      </c>
      <c r="K71" s="28">
        <v>1248</v>
      </c>
      <c r="L71" s="28">
        <v>1227</v>
      </c>
      <c r="M71" s="28">
        <v>1205</v>
      </c>
      <c r="N71" s="28"/>
      <c r="O71" s="332"/>
      <c r="P71" s="333">
        <v>1296</v>
      </c>
      <c r="Q71" s="322"/>
      <c r="R71" s="343"/>
      <c r="S71" s="322"/>
    </row>
    <row r="72" spans="2:23" ht="15.75" x14ac:dyDescent="0.25">
      <c r="B72" s="728"/>
      <c r="C72" s="327" t="s">
        <v>226</v>
      </c>
      <c r="D72" s="28">
        <v>821</v>
      </c>
      <c r="E72" s="28">
        <v>853</v>
      </c>
      <c r="F72" s="28">
        <v>845</v>
      </c>
      <c r="G72" s="28">
        <v>815</v>
      </c>
      <c r="H72" s="28">
        <v>798</v>
      </c>
      <c r="I72" s="28">
        <v>796</v>
      </c>
      <c r="J72" s="28">
        <v>805</v>
      </c>
      <c r="K72" s="28">
        <v>794</v>
      </c>
      <c r="L72" s="28">
        <v>786</v>
      </c>
      <c r="M72" s="28">
        <v>756</v>
      </c>
      <c r="N72" s="28"/>
      <c r="O72" s="332"/>
      <c r="P72" s="333">
        <v>807</v>
      </c>
      <c r="Q72" s="322"/>
      <c r="R72" s="343"/>
      <c r="S72" s="322"/>
    </row>
    <row r="73" spans="2:23" ht="15.75" x14ac:dyDescent="0.25">
      <c r="B73" s="728"/>
      <c r="C73" s="327" t="s">
        <v>232</v>
      </c>
      <c r="D73" s="28">
        <v>79941</v>
      </c>
      <c r="E73" s="28">
        <v>80970</v>
      </c>
      <c r="F73" s="28">
        <v>79962</v>
      </c>
      <c r="G73" s="28">
        <v>75693</v>
      </c>
      <c r="H73" s="28">
        <v>73893</v>
      </c>
      <c r="I73" s="28">
        <v>74746</v>
      </c>
      <c r="J73" s="28">
        <v>73161</v>
      </c>
      <c r="K73" s="28">
        <v>72458</v>
      </c>
      <c r="L73" s="28">
        <v>72669</v>
      </c>
      <c r="M73" s="28">
        <v>71412</v>
      </c>
      <c r="N73" s="28"/>
      <c r="O73" s="332"/>
      <c r="P73" s="333">
        <v>75491</v>
      </c>
      <c r="Q73" s="322"/>
      <c r="R73" s="343"/>
      <c r="S73" s="322"/>
    </row>
    <row r="74" spans="2:23" ht="19.5" thickBot="1" x14ac:dyDescent="0.3">
      <c r="B74" s="728"/>
      <c r="C74" s="328" t="s">
        <v>275</v>
      </c>
      <c r="D74" s="334">
        <v>675</v>
      </c>
      <c r="E74" s="334">
        <v>1020</v>
      </c>
      <c r="F74" s="334">
        <v>1002</v>
      </c>
      <c r="G74" s="334">
        <v>905</v>
      </c>
      <c r="H74" s="334">
        <v>962</v>
      </c>
      <c r="I74" s="334">
        <v>717</v>
      </c>
      <c r="J74" s="334">
        <v>512</v>
      </c>
      <c r="K74" s="334">
        <v>543</v>
      </c>
      <c r="L74" s="334">
        <v>900</v>
      </c>
      <c r="M74" s="334">
        <v>862</v>
      </c>
      <c r="N74" s="334"/>
      <c r="O74" s="335"/>
      <c r="P74" s="336">
        <v>810</v>
      </c>
      <c r="Q74" s="322"/>
      <c r="R74" s="343"/>
      <c r="S74" s="322"/>
    </row>
    <row r="75" spans="2:23" ht="17.25" thickTop="1" thickBot="1" x14ac:dyDescent="0.3">
      <c r="B75" s="729"/>
      <c r="C75" s="337" t="s">
        <v>38</v>
      </c>
      <c r="D75" s="338">
        <v>133756</v>
      </c>
      <c r="E75" s="338">
        <v>135630</v>
      </c>
      <c r="F75" s="338">
        <v>134101</v>
      </c>
      <c r="G75" s="338">
        <v>127329</v>
      </c>
      <c r="H75" s="338">
        <v>124752</v>
      </c>
      <c r="I75" s="338">
        <v>125971</v>
      </c>
      <c r="J75" s="338">
        <v>123292</v>
      </c>
      <c r="K75" s="338">
        <v>122516</v>
      </c>
      <c r="L75" s="338">
        <v>123548</v>
      </c>
      <c r="M75" s="338">
        <v>121480</v>
      </c>
      <c r="N75" s="338"/>
      <c r="O75" s="339"/>
      <c r="P75" s="340">
        <v>127238</v>
      </c>
      <c r="Q75" s="13"/>
      <c r="R75" s="343"/>
      <c r="S75" s="322"/>
    </row>
    <row r="76" spans="2:23" ht="15.75" x14ac:dyDescent="0.25">
      <c r="B76" s="727" t="s">
        <v>272</v>
      </c>
      <c r="C76" s="326" t="s">
        <v>222</v>
      </c>
      <c r="D76" s="329">
        <v>163279</v>
      </c>
      <c r="E76" s="329">
        <v>165898</v>
      </c>
      <c r="F76" s="329">
        <v>164838</v>
      </c>
      <c r="G76" s="329">
        <v>158315</v>
      </c>
      <c r="H76" s="329">
        <v>156285</v>
      </c>
      <c r="I76" s="329">
        <v>158472</v>
      </c>
      <c r="J76" s="329">
        <v>156995</v>
      </c>
      <c r="K76" s="329">
        <v>156558</v>
      </c>
      <c r="L76" s="329">
        <v>157000</v>
      </c>
      <c r="M76" s="329">
        <v>154919</v>
      </c>
      <c r="N76" s="329"/>
      <c r="O76" s="330"/>
      <c r="P76" s="331">
        <v>159256</v>
      </c>
      <c r="Q76" s="322"/>
      <c r="R76" s="343"/>
      <c r="S76" s="322"/>
    </row>
    <row r="77" spans="2:23" ht="15.75" x14ac:dyDescent="0.25">
      <c r="B77" s="728"/>
      <c r="C77" s="327" t="s">
        <v>223</v>
      </c>
      <c r="D77" s="28">
        <v>2669</v>
      </c>
      <c r="E77" s="28">
        <v>2736</v>
      </c>
      <c r="F77" s="28">
        <v>2694</v>
      </c>
      <c r="G77" s="28">
        <v>2594</v>
      </c>
      <c r="H77" s="28">
        <v>2500</v>
      </c>
      <c r="I77" s="28">
        <v>2565</v>
      </c>
      <c r="J77" s="28">
        <v>2549</v>
      </c>
      <c r="K77" s="28">
        <v>2497</v>
      </c>
      <c r="L77" s="28">
        <v>2452</v>
      </c>
      <c r="M77" s="28">
        <v>2430</v>
      </c>
      <c r="N77" s="28"/>
      <c r="O77" s="332"/>
      <c r="P77" s="333">
        <v>2569</v>
      </c>
      <c r="Q77" s="322"/>
      <c r="R77" s="343"/>
      <c r="S77" s="322"/>
    </row>
    <row r="78" spans="2:23" ht="15.75" x14ac:dyDescent="0.25">
      <c r="B78" s="728"/>
      <c r="C78" s="327" t="s">
        <v>249</v>
      </c>
      <c r="D78" s="28">
        <v>2768</v>
      </c>
      <c r="E78" s="28">
        <v>2818</v>
      </c>
      <c r="F78" s="28">
        <v>2780</v>
      </c>
      <c r="G78" s="28">
        <v>2661</v>
      </c>
      <c r="H78" s="28">
        <v>2617</v>
      </c>
      <c r="I78" s="28">
        <v>2686</v>
      </c>
      <c r="J78" s="28">
        <v>2692</v>
      </c>
      <c r="K78" s="28">
        <v>2704</v>
      </c>
      <c r="L78" s="28">
        <v>2716</v>
      </c>
      <c r="M78" s="28">
        <v>2645</v>
      </c>
      <c r="N78" s="28"/>
      <c r="O78" s="332"/>
      <c r="P78" s="333">
        <v>2709</v>
      </c>
      <c r="Q78" s="322"/>
      <c r="R78" s="343"/>
      <c r="S78" s="322"/>
    </row>
    <row r="79" spans="2:23" ht="15.75" x14ac:dyDescent="0.25">
      <c r="B79" s="728"/>
      <c r="C79" s="327" t="s">
        <v>262</v>
      </c>
      <c r="D79" s="28">
        <v>4971</v>
      </c>
      <c r="E79" s="28">
        <v>5009</v>
      </c>
      <c r="F79" s="28">
        <v>4951</v>
      </c>
      <c r="G79" s="28">
        <v>4770</v>
      </c>
      <c r="H79" s="28">
        <v>4789</v>
      </c>
      <c r="I79" s="28">
        <v>4801</v>
      </c>
      <c r="J79" s="28">
        <v>4722</v>
      </c>
      <c r="K79" s="28">
        <v>4711</v>
      </c>
      <c r="L79" s="28">
        <v>4770</v>
      </c>
      <c r="M79" s="28">
        <v>4769</v>
      </c>
      <c r="N79" s="28"/>
      <c r="O79" s="332"/>
      <c r="P79" s="333">
        <v>4826</v>
      </c>
      <c r="Q79" s="322"/>
      <c r="R79" s="343"/>
      <c r="S79" s="322"/>
    </row>
    <row r="80" spans="2:23" ht="19.5" thickBot="1" x14ac:dyDescent="0.3">
      <c r="B80" s="728"/>
      <c r="C80" s="328" t="s">
        <v>275</v>
      </c>
      <c r="D80" s="334">
        <v>398</v>
      </c>
      <c r="E80" s="334">
        <v>501</v>
      </c>
      <c r="F80" s="334">
        <v>550</v>
      </c>
      <c r="G80" s="334">
        <v>540</v>
      </c>
      <c r="H80" s="334">
        <v>507</v>
      </c>
      <c r="I80" s="334">
        <v>358</v>
      </c>
      <c r="J80" s="334">
        <v>315</v>
      </c>
      <c r="K80" s="334">
        <v>298</v>
      </c>
      <c r="L80" s="334">
        <v>520</v>
      </c>
      <c r="M80" s="334">
        <v>633</v>
      </c>
      <c r="N80" s="334"/>
      <c r="O80" s="335"/>
      <c r="P80" s="336">
        <v>462</v>
      </c>
      <c r="R80" s="343"/>
      <c r="S80" s="322"/>
    </row>
    <row r="81" spans="2:19" ht="17.25" thickTop="1" thickBot="1" x14ac:dyDescent="0.3">
      <c r="B81" s="729"/>
      <c r="C81" s="337" t="s">
        <v>38</v>
      </c>
      <c r="D81" s="338">
        <v>174085</v>
      </c>
      <c r="E81" s="338">
        <v>176962</v>
      </c>
      <c r="F81" s="338">
        <v>175813</v>
      </c>
      <c r="G81" s="338">
        <v>168880</v>
      </c>
      <c r="H81" s="338">
        <v>166698</v>
      </c>
      <c r="I81" s="338">
        <v>168882</v>
      </c>
      <c r="J81" s="338">
        <v>167273</v>
      </c>
      <c r="K81" s="338">
        <v>166768</v>
      </c>
      <c r="L81" s="338">
        <v>167458</v>
      </c>
      <c r="M81" s="338">
        <v>165396</v>
      </c>
      <c r="N81" s="338"/>
      <c r="O81" s="339"/>
      <c r="P81" s="340">
        <v>169822</v>
      </c>
      <c r="Q81" s="13"/>
      <c r="R81" s="347"/>
      <c r="S81" s="322"/>
    </row>
    <row r="82" spans="2:19" ht="5.25" customHeight="1" thickBot="1" x14ac:dyDescent="0.3">
      <c r="B82" s="354"/>
      <c r="C82" s="355"/>
      <c r="D82" s="356"/>
      <c r="E82" s="356"/>
      <c r="F82" s="356"/>
      <c r="G82" s="356"/>
      <c r="H82" s="356"/>
      <c r="I82" s="356"/>
      <c r="J82" s="356"/>
      <c r="K82" s="356"/>
      <c r="L82" s="356"/>
      <c r="M82" s="356"/>
      <c r="N82" s="356"/>
      <c r="O82" s="356"/>
      <c r="P82" s="357"/>
      <c r="R82" s="343"/>
      <c r="S82" s="322"/>
    </row>
    <row r="83" spans="2:19" ht="16.5" thickBot="1" x14ac:dyDescent="0.3">
      <c r="B83" s="733" t="s">
        <v>273</v>
      </c>
      <c r="C83" s="734"/>
      <c r="D83" s="341">
        <v>1033790</v>
      </c>
      <c r="E83" s="341">
        <v>1067495</v>
      </c>
      <c r="F83" s="341">
        <v>1055444</v>
      </c>
      <c r="G83" s="341">
        <v>1009299</v>
      </c>
      <c r="H83" s="341">
        <v>992145</v>
      </c>
      <c r="I83" s="341">
        <v>1007150</v>
      </c>
      <c r="J83" s="341">
        <v>991662</v>
      </c>
      <c r="K83" s="341">
        <v>985538</v>
      </c>
      <c r="L83" s="341">
        <v>988081</v>
      </c>
      <c r="M83" s="341">
        <v>975543</v>
      </c>
      <c r="N83" s="341"/>
      <c r="O83" s="341"/>
      <c r="P83" s="342">
        <v>1010615</v>
      </c>
      <c r="Q83" s="13"/>
      <c r="R83" s="343"/>
      <c r="S83" s="322"/>
    </row>
    <row r="84" spans="2:19" ht="15.75" x14ac:dyDescent="0.25">
      <c r="B84" s="730" t="s">
        <v>274</v>
      </c>
      <c r="C84" s="731"/>
      <c r="D84" s="731"/>
      <c r="E84" s="731"/>
      <c r="F84" s="731"/>
      <c r="G84" s="731"/>
      <c r="H84" s="731"/>
      <c r="I84" s="731"/>
      <c r="J84" s="731"/>
      <c r="K84" s="731"/>
      <c r="L84" s="731"/>
      <c r="M84" s="731"/>
      <c r="N84" s="731"/>
      <c r="O84" s="731"/>
      <c r="P84" s="732"/>
      <c r="R84" s="343"/>
    </row>
    <row r="85" spans="2:19" ht="16.5" thickBot="1" x14ac:dyDescent="0.3">
      <c r="B85" s="721" t="s">
        <v>325</v>
      </c>
      <c r="C85" s="722"/>
      <c r="D85" s="722"/>
      <c r="E85" s="722"/>
      <c r="F85" s="722"/>
      <c r="G85" s="722"/>
      <c r="H85" s="722"/>
      <c r="I85" s="722"/>
      <c r="J85" s="722"/>
      <c r="K85" s="722"/>
      <c r="L85" s="722"/>
      <c r="M85" s="722"/>
      <c r="N85" s="722"/>
      <c r="O85" s="722"/>
      <c r="P85" s="723"/>
      <c r="R85" s="343"/>
    </row>
    <row r="86" spans="2:19" ht="15.75" x14ac:dyDescent="0.25">
      <c r="D86" s="344"/>
      <c r="E86" s="344"/>
      <c r="F86" s="344"/>
      <c r="G86" s="344"/>
      <c r="H86" s="344"/>
      <c r="I86" s="344"/>
      <c r="J86" s="344"/>
      <c r="K86" s="344"/>
      <c r="L86" s="344"/>
      <c r="M86" s="344"/>
      <c r="N86" s="344"/>
      <c r="O86" s="344"/>
      <c r="P86" s="13"/>
    </row>
    <row r="94" spans="2:19" x14ac:dyDescent="0.2">
      <c r="J94" s="324"/>
    </row>
  </sheetData>
  <mergeCells count="11">
    <mergeCell ref="B85:P85"/>
    <mergeCell ref="B2:P2"/>
    <mergeCell ref="B4:B27"/>
    <mergeCell ref="B28:B39"/>
    <mergeCell ref="B40:B44"/>
    <mergeCell ref="B84:P84"/>
    <mergeCell ref="B45:B65"/>
    <mergeCell ref="B66:B68"/>
    <mergeCell ref="B69:B75"/>
    <mergeCell ref="B76:B81"/>
    <mergeCell ref="B83:C83"/>
  </mergeCells>
  <conditionalFormatting sqref="D4:P83">
    <cfRule type="expression" dxfId="3" priority="1">
      <formula>D4="NR"</formula>
    </cfRule>
  </conditionalFormatting>
  <printOptions horizontalCentered="1" gridLines="1"/>
  <pageMargins left="0.7" right="0.7" top="0.75" bottom="0.75" header="0.3" footer="0.3"/>
  <pageSetup scale="66" fitToHeight="3" orientation="landscape" r:id="rId1"/>
  <headerFooter>
    <oddHeader>&amp;C&amp;"Times New Roman,Bold"&amp;12Department of Health Care Policy and Financing
FY 2017-18 Medical Premiums Expenditure and Caseload Report</oddHeader>
    <oddFooter>&amp;L&amp;"Times New Roman,Bold"&amp;12Page &amp;P</oddFooter>
  </headerFooter>
  <rowBreaks count="1" manualBreakCount="1">
    <brk id="44"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M61"/>
  <sheetViews>
    <sheetView view="pageBreakPreview" zoomScaleNormal="100" zoomScaleSheetLayoutView="100" workbookViewId="0">
      <selection activeCell="C29" sqref="C29"/>
    </sheetView>
  </sheetViews>
  <sheetFormatPr defaultColWidth="9.140625" defaultRowHeight="15.75" x14ac:dyDescent="0.25"/>
  <cols>
    <col min="1" max="1" width="36.42578125" style="156" customWidth="1"/>
    <col min="2" max="2" width="42.28515625" style="156" customWidth="1"/>
    <col min="3" max="3" width="26.7109375" style="156" customWidth="1"/>
    <col min="4" max="5" width="24.5703125" style="156" customWidth="1"/>
    <col min="6" max="6" width="15.85546875" style="156" customWidth="1"/>
    <col min="7" max="7" width="25.28515625" style="156" customWidth="1"/>
    <col min="8" max="8" width="14.85546875" style="156" bestFit="1" customWidth="1"/>
    <col min="9" max="9" width="13" style="156" bestFit="1" customWidth="1"/>
    <col min="10" max="10" width="8.7109375" style="156" bestFit="1" customWidth="1"/>
    <col min="11" max="12" width="9.140625" style="156"/>
    <col min="13" max="13" width="11.5703125" style="156" bestFit="1" customWidth="1"/>
    <col min="14" max="14" width="9.140625" style="156"/>
    <col min="15" max="15" width="9.28515625" style="156" bestFit="1" customWidth="1"/>
    <col min="16" max="16384" width="9.140625" style="156"/>
  </cols>
  <sheetData>
    <row r="1" spans="1:13" ht="21" customHeight="1" x14ac:dyDescent="0.25">
      <c r="A1" s="735" t="s">
        <v>372</v>
      </c>
      <c r="B1" s="736"/>
      <c r="C1" s="736"/>
      <c r="D1" s="737"/>
      <c r="E1" s="348"/>
      <c r="F1" s="348"/>
      <c r="G1" s="74"/>
      <c r="H1" s="168"/>
    </row>
    <row r="2" spans="1:13" ht="31.5" x14ac:dyDescent="0.25">
      <c r="A2" s="525"/>
      <c r="B2" s="564" t="s">
        <v>76</v>
      </c>
      <c r="C2" s="565" t="s">
        <v>30</v>
      </c>
      <c r="D2" s="566" t="s">
        <v>31</v>
      </c>
      <c r="E2" s="349"/>
      <c r="F2" s="349"/>
      <c r="G2" s="157"/>
      <c r="H2" s="168"/>
    </row>
    <row r="3" spans="1:13" x14ac:dyDescent="0.25">
      <c r="A3" s="233" t="s">
        <v>3</v>
      </c>
      <c r="B3" s="16">
        <v>49555280</v>
      </c>
      <c r="C3" s="17">
        <v>49547889</v>
      </c>
      <c r="D3" s="526">
        <v>7391</v>
      </c>
      <c r="E3" s="238"/>
      <c r="F3" s="238"/>
      <c r="G3" s="238"/>
      <c r="H3" s="11"/>
      <c r="I3" s="158"/>
      <c r="J3" s="158"/>
    </row>
    <row r="4" spans="1:13" x14ac:dyDescent="0.25">
      <c r="A4" s="233" t="s">
        <v>4</v>
      </c>
      <c r="B4" s="16">
        <v>49819612</v>
      </c>
      <c r="C4" s="17">
        <v>49818022</v>
      </c>
      <c r="D4" s="526">
        <v>1590</v>
      </c>
      <c r="E4" s="350"/>
      <c r="F4" s="350"/>
      <c r="G4" s="238"/>
      <c r="H4" s="11"/>
      <c r="I4" s="158"/>
      <c r="J4" s="158"/>
      <c r="L4" s="165"/>
      <c r="M4" s="165"/>
    </row>
    <row r="5" spans="1:13" x14ac:dyDescent="0.25">
      <c r="A5" s="233" t="s">
        <v>5</v>
      </c>
      <c r="B5" s="16">
        <v>49547747</v>
      </c>
      <c r="C5" s="17">
        <v>49544198</v>
      </c>
      <c r="D5" s="458">
        <v>3549</v>
      </c>
      <c r="E5" s="350"/>
      <c r="F5" s="350"/>
      <c r="G5" s="238"/>
      <c r="H5" s="176"/>
      <c r="I5" s="158"/>
      <c r="J5" s="158"/>
      <c r="L5" s="165"/>
      <c r="M5" s="165"/>
    </row>
    <row r="6" spans="1:13" x14ac:dyDescent="0.25">
      <c r="A6" s="233" t="s">
        <v>6</v>
      </c>
      <c r="B6" s="16">
        <v>48206098</v>
      </c>
      <c r="C6" s="17">
        <v>48201694</v>
      </c>
      <c r="D6" s="458">
        <v>4404</v>
      </c>
      <c r="E6" s="350"/>
      <c r="F6" s="350"/>
      <c r="G6" s="238"/>
      <c r="H6" s="176"/>
      <c r="I6" s="158"/>
      <c r="J6" s="158"/>
      <c r="L6" s="165"/>
      <c r="M6" s="165"/>
    </row>
    <row r="7" spans="1:13" x14ac:dyDescent="0.25">
      <c r="A7" s="233" t="s">
        <v>7</v>
      </c>
      <c r="B7" s="16">
        <v>54795655</v>
      </c>
      <c r="C7" s="17">
        <v>54793026</v>
      </c>
      <c r="D7" s="458">
        <v>2629</v>
      </c>
      <c r="E7" s="350"/>
      <c r="F7" s="350"/>
      <c r="G7" s="238"/>
      <c r="H7" s="176"/>
      <c r="I7" s="158"/>
      <c r="J7" s="158"/>
      <c r="L7" s="165"/>
      <c r="M7" s="165"/>
    </row>
    <row r="8" spans="1:13" x14ac:dyDescent="0.25">
      <c r="A8" s="233" t="s">
        <v>8</v>
      </c>
      <c r="B8" s="16">
        <v>-6330893.9400000004</v>
      </c>
      <c r="C8" s="17">
        <v>-6395673</v>
      </c>
      <c r="D8" s="458">
        <v>64779.06</v>
      </c>
      <c r="E8" s="351"/>
      <c r="F8" s="351"/>
      <c r="G8" s="238"/>
      <c r="H8" s="176"/>
      <c r="I8" s="158"/>
      <c r="J8" s="158"/>
      <c r="K8" s="159"/>
      <c r="L8" s="165"/>
      <c r="M8" s="165"/>
    </row>
    <row r="9" spans="1:13" x14ac:dyDescent="0.25">
      <c r="A9" s="233" t="s">
        <v>9</v>
      </c>
      <c r="B9" s="16">
        <v>47531556.090000011</v>
      </c>
      <c r="C9" s="17">
        <v>47474091.870000012</v>
      </c>
      <c r="D9" s="458">
        <v>57464.220000000008</v>
      </c>
      <c r="E9" s="351"/>
      <c r="F9" s="351"/>
      <c r="G9" s="238"/>
      <c r="H9" s="176"/>
      <c r="I9" s="158"/>
      <c r="M9" s="165"/>
    </row>
    <row r="10" spans="1:13" x14ac:dyDescent="0.25">
      <c r="A10" s="233" t="s">
        <v>10</v>
      </c>
      <c r="B10" s="16">
        <v>47282005.600000001</v>
      </c>
      <c r="C10" s="17">
        <v>47242932.590000004</v>
      </c>
      <c r="D10" s="458">
        <v>39073.01</v>
      </c>
      <c r="E10" s="350"/>
      <c r="F10" s="350"/>
      <c r="G10" s="238"/>
      <c r="H10" s="176"/>
      <c r="I10" s="158"/>
      <c r="J10" s="125"/>
      <c r="K10" s="159"/>
      <c r="L10" s="165"/>
      <c r="M10" s="165"/>
    </row>
    <row r="11" spans="1:13" x14ac:dyDescent="0.25">
      <c r="A11" s="233" t="s">
        <v>11</v>
      </c>
      <c r="B11" s="16">
        <v>47203563.079999939</v>
      </c>
      <c r="C11" s="17">
        <v>47142769.839999937</v>
      </c>
      <c r="D11" s="458">
        <v>60793.240000000005</v>
      </c>
      <c r="E11" s="350"/>
      <c r="F11" s="350"/>
      <c r="G11" s="238"/>
      <c r="H11" s="176"/>
      <c r="I11" s="163"/>
      <c r="J11" s="125"/>
      <c r="K11" s="159"/>
      <c r="L11" s="165"/>
      <c r="M11" s="165"/>
    </row>
    <row r="12" spans="1:13" x14ac:dyDescent="0.25">
      <c r="A12" s="233" t="s">
        <v>12</v>
      </c>
      <c r="B12" s="16">
        <v>46657950.370000005</v>
      </c>
      <c r="C12" s="17">
        <v>46557454.920000002</v>
      </c>
      <c r="D12" s="458">
        <v>100495.45</v>
      </c>
      <c r="E12" s="572"/>
      <c r="F12" s="350"/>
      <c r="G12" s="238"/>
      <c r="H12" s="176"/>
      <c r="I12" s="163"/>
      <c r="J12" s="125"/>
      <c r="K12" s="159"/>
      <c r="L12" s="165"/>
      <c r="M12" s="165"/>
    </row>
    <row r="13" spans="1:13" x14ac:dyDescent="0.25">
      <c r="A13" s="233" t="s">
        <v>13</v>
      </c>
      <c r="B13" s="589"/>
      <c r="C13" s="590"/>
      <c r="D13" s="591"/>
      <c r="E13" s="350"/>
      <c r="F13" s="350"/>
      <c r="G13" s="238"/>
      <c r="H13" s="176"/>
      <c r="I13" s="163"/>
      <c r="J13" s="125"/>
      <c r="L13" s="165"/>
      <c r="M13" s="165"/>
    </row>
    <row r="14" spans="1:13" x14ac:dyDescent="0.25">
      <c r="A14" s="233" t="s">
        <v>2</v>
      </c>
      <c r="B14" s="589"/>
      <c r="C14" s="590"/>
      <c r="D14" s="591"/>
      <c r="E14" s="161"/>
      <c r="F14" s="350"/>
      <c r="G14" s="238"/>
      <c r="H14" s="177"/>
      <c r="I14" s="164"/>
      <c r="L14" s="165"/>
      <c r="M14" s="165"/>
    </row>
    <row r="15" spans="1:13" x14ac:dyDescent="0.25">
      <c r="A15" s="527" t="s">
        <v>33</v>
      </c>
      <c r="B15" s="43">
        <v>434268573.19999999</v>
      </c>
      <c r="C15" s="18">
        <v>433926405.21999997</v>
      </c>
      <c r="D15" s="528">
        <v>342167.98000000004</v>
      </c>
      <c r="E15" s="352"/>
      <c r="F15" s="352"/>
      <c r="G15" s="238"/>
      <c r="H15" s="23"/>
      <c r="I15" s="23"/>
    </row>
    <row r="16" spans="1:13" s="168" customFormat="1" x14ac:dyDescent="0.25">
      <c r="A16" s="229" t="s">
        <v>34</v>
      </c>
      <c r="B16" s="16">
        <v>535174626</v>
      </c>
      <c r="C16" s="616">
        <v>525977196</v>
      </c>
      <c r="D16" s="617">
        <v>9197430</v>
      </c>
      <c r="E16" s="533"/>
      <c r="F16" s="534"/>
      <c r="G16" s="238"/>
      <c r="I16" s="23"/>
      <c r="J16" s="177"/>
    </row>
    <row r="17" spans="1:9" ht="16.5" thickBot="1" x14ac:dyDescent="0.3">
      <c r="A17" s="550" t="s">
        <v>23</v>
      </c>
      <c r="B17" s="551">
        <v>100906052.80000001</v>
      </c>
      <c r="C17" s="18">
        <v>92050790.780000031</v>
      </c>
      <c r="D17" s="528">
        <v>8855262.0199999996</v>
      </c>
      <c r="E17" s="549"/>
      <c r="F17" s="549"/>
      <c r="G17" s="238"/>
      <c r="H17" s="168"/>
      <c r="I17" s="96"/>
    </row>
    <row r="18" spans="1:9" s="455" customFormat="1" x14ac:dyDescent="0.25">
      <c r="A18" s="738" t="s">
        <v>24</v>
      </c>
      <c r="B18" s="739"/>
      <c r="C18" s="739"/>
      <c r="D18" s="740"/>
      <c r="E18" s="346"/>
      <c r="F18" s="156"/>
      <c r="G18" s="156"/>
      <c r="H18" s="156"/>
    </row>
    <row r="19" spans="1:9" ht="14.25" customHeight="1" x14ac:dyDescent="0.25">
      <c r="A19" s="741" t="s">
        <v>402</v>
      </c>
      <c r="B19" s="742"/>
      <c r="C19" s="742"/>
      <c r="D19" s="743"/>
      <c r="E19" s="353"/>
    </row>
    <row r="20" spans="1:9" x14ac:dyDescent="0.25">
      <c r="A20" s="741" t="s">
        <v>413</v>
      </c>
      <c r="B20" s="742"/>
      <c r="C20" s="742"/>
      <c r="D20" s="743"/>
      <c r="E20" s="353" t="s">
        <v>371</v>
      </c>
    </row>
    <row r="21" spans="1:9" s="168" customFormat="1" ht="39" x14ac:dyDescent="0.25">
      <c r="A21" s="741" t="s">
        <v>404</v>
      </c>
      <c r="B21" s="742"/>
      <c r="C21" s="742"/>
      <c r="D21" s="743"/>
      <c r="E21" s="353" t="s">
        <v>341</v>
      </c>
      <c r="F21" s="156"/>
      <c r="G21" s="156"/>
      <c r="H21" s="156"/>
    </row>
    <row r="22" spans="1:9" ht="26.25" x14ac:dyDescent="0.25">
      <c r="A22" s="744" t="s">
        <v>391</v>
      </c>
      <c r="B22" s="745"/>
      <c r="C22" s="745"/>
      <c r="D22" s="746"/>
      <c r="E22" s="353" t="s">
        <v>338</v>
      </c>
    </row>
    <row r="23" spans="1:9" ht="16.5" thickBot="1" x14ac:dyDescent="0.3">
      <c r="A23" s="682" t="s">
        <v>392</v>
      </c>
      <c r="B23" s="683"/>
      <c r="C23" s="683"/>
      <c r="D23" s="684"/>
      <c r="E23" s="353"/>
    </row>
    <row r="61" ht="37.5" customHeight="1" x14ac:dyDescent="0.25"/>
  </sheetData>
  <mergeCells count="7">
    <mergeCell ref="A23:D23"/>
    <mergeCell ref="A1:D1"/>
    <mergeCell ref="A18:D18"/>
    <mergeCell ref="A19:D19"/>
    <mergeCell ref="A21:D21"/>
    <mergeCell ref="A22:D22"/>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P62"/>
  <sheetViews>
    <sheetView view="pageBreakPreview" zoomScale="85" zoomScaleNormal="100" zoomScaleSheetLayoutView="85" workbookViewId="0">
      <selection activeCell="J43" sqref="J43"/>
    </sheetView>
  </sheetViews>
  <sheetFormatPr defaultColWidth="9.140625" defaultRowHeight="15.75" x14ac:dyDescent="0.25"/>
  <cols>
    <col min="1" max="1" width="33" style="455" bestFit="1" customWidth="1"/>
    <col min="2" max="2" width="17.85546875" style="455" customWidth="1"/>
    <col min="3" max="3" width="19.42578125" style="455" customWidth="1"/>
    <col min="4" max="4" width="20.140625" style="455" customWidth="1"/>
    <col min="5" max="5" width="18.42578125" style="455" customWidth="1"/>
    <col min="6" max="6" width="19.42578125" style="455" customWidth="1"/>
    <col min="7" max="7" width="19.5703125" style="455" bestFit="1" customWidth="1"/>
    <col min="8" max="8" width="13.140625" style="455" customWidth="1"/>
    <col min="9" max="9" width="13.42578125" style="455" bestFit="1" customWidth="1"/>
    <col min="10" max="10" width="12.7109375" style="455" bestFit="1" customWidth="1"/>
    <col min="11" max="11" width="12.85546875" style="455" bestFit="1" customWidth="1"/>
    <col min="12" max="12" width="11.5703125" style="455" bestFit="1" customWidth="1"/>
    <col min="13" max="14" width="9.140625" style="455"/>
    <col min="15" max="15" width="16.140625" style="455" bestFit="1" customWidth="1"/>
    <col min="16" max="16384" width="9.140625" style="455"/>
  </cols>
  <sheetData>
    <row r="1" spans="1:15" ht="15.75" customHeight="1" thickBot="1" x14ac:dyDescent="0.3">
      <c r="A1" s="747" t="s">
        <v>373</v>
      </c>
      <c r="B1" s="748"/>
      <c r="C1" s="748"/>
      <c r="D1" s="748"/>
      <c r="E1" s="748"/>
      <c r="F1" s="748"/>
      <c r="G1" s="748"/>
      <c r="H1" s="749"/>
      <c r="I1" s="520"/>
    </row>
    <row r="2" spans="1:15" ht="47.25" x14ac:dyDescent="0.25">
      <c r="A2" s="450"/>
      <c r="B2" s="451" t="s">
        <v>38</v>
      </c>
      <c r="C2" s="452" t="s">
        <v>39</v>
      </c>
      <c r="D2" s="452" t="s">
        <v>316</v>
      </c>
      <c r="E2" s="452" t="s">
        <v>315</v>
      </c>
      <c r="F2" s="452" t="s">
        <v>41</v>
      </c>
      <c r="G2" s="456" t="s">
        <v>131</v>
      </c>
      <c r="H2" s="571" t="s">
        <v>330</v>
      </c>
      <c r="I2" s="521"/>
    </row>
    <row r="3" spans="1:15" x14ac:dyDescent="0.25">
      <c r="A3" s="233" t="s">
        <v>3</v>
      </c>
      <c r="B3" s="15">
        <v>49547889</v>
      </c>
      <c r="C3" s="15">
        <v>10953484</v>
      </c>
      <c r="D3" s="15">
        <v>10117623</v>
      </c>
      <c r="E3" s="15">
        <v>5523234</v>
      </c>
      <c r="F3" s="15">
        <v>16184039</v>
      </c>
      <c r="G3" s="15">
        <v>6769509</v>
      </c>
      <c r="H3" s="458">
        <v>0</v>
      </c>
      <c r="I3" s="522"/>
    </row>
    <row r="4" spans="1:15" x14ac:dyDescent="0.25">
      <c r="A4" s="233" t="s">
        <v>4</v>
      </c>
      <c r="B4" s="15">
        <v>49818022</v>
      </c>
      <c r="C4" s="15">
        <v>10970710</v>
      </c>
      <c r="D4" s="15">
        <v>10193428</v>
      </c>
      <c r="E4" s="15">
        <v>5553527</v>
      </c>
      <c r="F4" s="15">
        <v>16280012</v>
      </c>
      <c r="G4" s="15">
        <v>6820345</v>
      </c>
      <c r="H4" s="458">
        <v>0</v>
      </c>
      <c r="I4" s="522"/>
    </row>
    <row r="5" spans="1:15" x14ac:dyDescent="0.25">
      <c r="A5" s="233" t="s">
        <v>5</v>
      </c>
      <c r="B5" s="15">
        <v>49544198</v>
      </c>
      <c r="C5" s="15">
        <v>10907161</v>
      </c>
      <c r="D5" s="15">
        <v>10145948</v>
      </c>
      <c r="E5" s="15">
        <v>5512022</v>
      </c>
      <c r="F5" s="15">
        <v>16209672</v>
      </c>
      <c r="G5" s="350">
        <v>6769395</v>
      </c>
      <c r="H5" s="458">
        <v>0</v>
      </c>
      <c r="I5" s="522"/>
      <c r="L5" s="170"/>
    </row>
    <row r="6" spans="1:15" x14ac:dyDescent="0.25">
      <c r="A6" s="233" t="s">
        <v>6</v>
      </c>
      <c r="B6" s="15">
        <v>48201694</v>
      </c>
      <c r="C6" s="269">
        <v>10579768</v>
      </c>
      <c r="D6" s="269">
        <v>9818331</v>
      </c>
      <c r="E6" s="269">
        <v>5376098</v>
      </c>
      <c r="F6" s="269">
        <v>15864277</v>
      </c>
      <c r="G6" s="269">
        <v>6563220</v>
      </c>
      <c r="H6" s="458">
        <v>0</v>
      </c>
      <c r="I6" s="522"/>
      <c r="L6" s="171"/>
    </row>
    <row r="7" spans="1:15" x14ac:dyDescent="0.25">
      <c r="A7" s="233" t="s">
        <v>1</v>
      </c>
      <c r="B7" s="15">
        <v>54793026</v>
      </c>
      <c r="C7" s="15">
        <v>11849282</v>
      </c>
      <c r="D7" s="15">
        <v>11240794</v>
      </c>
      <c r="E7" s="15">
        <v>6094051</v>
      </c>
      <c r="F7" s="15">
        <v>18317581</v>
      </c>
      <c r="G7" s="350">
        <v>7291318</v>
      </c>
      <c r="H7" s="458">
        <v>0</v>
      </c>
      <c r="I7" s="547"/>
      <c r="L7" s="172"/>
      <c r="O7" s="170"/>
    </row>
    <row r="8" spans="1:15" x14ac:dyDescent="0.25">
      <c r="A8" s="233" t="s">
        <v>172</v>
      </c>
      <c r="B8" s="15">
        <v>-6395673</v>
      </c>
      <c r="C8" s="269">
        <v>-3408695</v>
      </c>
      <c r="D8" s="269">
        <v>-1286734</v>
      </c>
      <c r="E8" s="269">
        <v>723813</v>
      </c>
      <c r="F8" s="269">
        <v>-423587</v>
      </c>
      <c r="G8" s="269">
        <v>-2000470</v>
      </c>
      <c r="H8" s="458">
        <v>0</v>
      </c>
      <c r="I8" s="547"/>
      <c r="L8" s="569"/>
      <c r="M8" s="96"/>
      <c r="O8" s="170"/>
    </row>
    <row r="9" spans="1:15" x14ac:dyDescent="0.25">
      <c r="A9" s="233" t="s">
        <v>9</v>
      </c>
      <c r="B9" s="15">
        <v>47474092</v>
      </c>
      <c r="C9" s="15">
        <v>10479766.380000001</v>
      </c>
      <c r="D9" s="15">
        <v>9276273.7400000021</v>
      </c>
      <c r="E9" s="15">
        <v>5314202.47</v>
      </c>
      <c r="F9" s="269">
        <v>15898676.039999999</v>
      </c>
      <c r="G9" s="350">
        <v>6505173.2400000002</v>
      </c>
      <c r="H9" s="458">
        <v>0</v>
      </c>
      <c r="I9" s="521"/>
      <c r="L9" s="569"/>
      <c r="M9" s="96"/>
    </row>
    <row r="10" spans="1:15" x14ac:dyDescent="0.25">
      <c r="A10" s="233" t="s">
        <v>10</v>
      </c>
      <c r="B10" s="15">
        <v>47242933</v>
      </c>
      <c r="C10" s="15">
        <v>10439397.449999997</v>
      </c>
      <c r="D10" s="15">
        <v>9270589.4600000065</v>
      </c>
      <c r="E10" s="15">
        <v>5277824.2599999988</v>
      </c>
      <c r="F10" s="269">
        <v>15812579.460000001</v>
      </c>
      <c r="G10" s="350">
        <v>6442541.9599999981</v>
      </c>
      <c r="H10" s="458">
        <v>0</v>
      </c>
      <c r="I10" s="521"/>
      <c r="L10" s="570"/>
      <c r="O10" s="389"/>
    </row>
    <row r="11" spans="1:15" x14ac:dyDescent="0.25">
      <c r="A11" s="233" t="s">
        <v>11</v>
      </c>
      <c r="B11" s="15">
        <v>47142770</v>
      </c>
      <c r="C11" s="15">
        <v>10416989</v>
      </c>
      <c r="D11" s="15">
        <v>9252521</v>
      </c>
      <c r="E11" s="15">
        <v>5274951</v>
      </c>
      <c r="F11" s="269">
        <v>15776722</v>
      </c>
      <c r="G11" s="350">
        <v>6421587</v>
      </c>
      <c r="H11" s="458">
        <v>0</v>
      </c>
      <c r="I11" s="521"/>
      <c r="K11" s="170"/>
    </row>
    <row r="12" spans="1:15" x14ac:dyDescent="0.25">
      <c r="A12" s="233" t="s">
        <v>12</v>
      </c>
      <c r="B12" s="15">
        <v>46557455</v>
      </c>
      <c r="C12" s="15">
        <v>10263367.779999999</v>
      </c>
      <c r="D12" s="15">
        <v>9106822.4800000004</v>
      </c>
      <c r="E12" s="15">
        <v>5200877.53</v>
      </c>
      <c r="F12" s="269">
        <v>15653869.93</v>
      </c>
      <c r="G12" s="350">
        <v>6332517.2000000002</v>
      </c>
      <c r="H12" s="458">
        <v>0</v>
      </c>
      <c r="I12" s="521"/>
    </row>
    <row r="13" spans="1:15" x14ac:dyDescent="0.25">
      <c r="A13" s="233" t="s">
        <v>13</v>
      </c>
      <c r="B13" s="592"/>
      <c r="C13" s="592"/>
      <c r="D13" s="592"/>
      <c r="E13" s="592"/>
      <c r="F13" s="593"/>
      <c r="G13" s="594"/>
      <c r="H13" s="591"/>
      <c r="I13" s="521"/>
      <c r="K13" s="170"/>
    </row>
    <row r="14" spans="1:15" x14ac:dyDescent="0.25">
      <c r="A14" s="235" t="s">
        <v>25</v>
      </c>
      <c r="B14" s="592"/>
      <c r="C14" s="592"/>
      <c r="D14" s="592"/>
      <c r="E14" s="592"/>
      <c r="F14" s="593"/>
      <c r="G14" s="594"/>
      <c r="H14" s="606"/>
      <c r="I14" s="547"/>
    </row>
    <row r="15" spans="1:15" x14ac:dyDescent="0.25">
      <c r="A15" s="228" t="s">
        <v>33</v>
      </c>
      <c r="B15" s="61">
        <v>433926406</v>
      </c>
      <c r="C15" s="61">
        <v>93451231</v>
      </c>
      <c r="D15" s="61">
        <v>87135597</v>
      </c>
      <c r="E15" s="61">
        <v>49850600</v>
      </c>
      <c r="F15" s="446">
        <v>145573842</v>
      </c>
      <c r="G15" s="457">
        <v>57915136</v>
      </c>
      <c r="H15" s="459">
        <v>0</v>
      </c>
      <c r="I15" s="547"/>
      <c r="J15" s="170"/>
      <c r="K15" s="170"/>
      <c r="L15" s="170"/>
    </row>
    <row r="16" spans="1:15" s="145" customFormat="1" x14ac:dyDescent="0.25">
      <c r="A16" s="229" t="s">
        <v>34</v>
      </c>
      <c r="B16" s="15">
        <v>525977196</v>
      </c>
      <c r="C16" s="750"/>
      <c r="D16" s="751"/>
      <c r="E16" s="751"/>
      <c r="F16" s="751"/>
      <c r="G16" s="751"/>
      <c r="H16" s="752"/>
      <c r="I16" s="547"/>
    </row>
    <row r="17" spans="1:11" ht="16.5" thickBot="1" x14ac:dyDescent="0.3">
      <c r="A17" s="236" t="s">
        <v>23</v>
      </c>
      <c r="B17" s="237">
        <v>92050790</v>
      </c>
      <c r="C17" s="753"/>
      <c r="D17" s="754"/>
      <c r="E17" s="754"/>
      <c r="F17" s="754"/>
      <c r="G17" s="754"/>
      <c r="H17" s="755"/>
      <c r="I17" s="523"/>
    </row>
    <row r="18" spans="1:11" ht="15.75" hidden="1" customHeight="1" x14ac:dyDescent="0.25">
      <c r="A18" s="761" t="s">
        <v>24</v>
      </c>
      <c r="B18" s="762"/>
      <c r="C18" s="762"/>
      <c r="D18" s="762"/>
      <c r="E18" s="762"/>
      <c r="F18" s="762"/>
      <c r="G18" s="763"/>
      <c r="H18" s="575"/>
      <c r="I18" s="523"/>
    </row>
    <row r="19" spans="1:11" ht="12.75" hidden="1" customHeight="1" x14ac:dyDescent="0.25">
      <c r="A19" s="759" t="s">
        <v>148</v>
      </c>
      <c r="B19" s="760"/>
      <c r="C19" s="760"/>
      <c r="D19" s="760"/>
      <c r="E19" s="760"/>
      <c r="F19" s="760"/>
      <c r="G19" s="760"/>
      <c r="H19" s="574"/>
      <c r="I19" s="523"/>
    </row>
    <row r="20" spans="1:11" ht="12.75" hidden="1" customHeight="1" x14ac:dyDescent="0.25">
      <c r="A20" s="759" t="s">
        <v>132</v>
      </c>
      <c r="B20" s="760"/>
      <c r="C20" s="760"/>
      <c r="D20" s="760"/>
      <c r="E20" s="760"/>
      <c r="F20" s="760"/>
      <c r="G20" s="760"/>
      <c r="H20" s="574"/>
      <c r="I20" s="524"/>
    </row>
    <row r="21" spans="1:11" ht="12.75" hidden="1" customHeight="1" x14ac:dyDescent="0.25">
      <c r="A21" s="759" t="s">
        <v>147</v>
      </c>
      <c r="B21" s="760"/>
      <c r="C21" s="760"/>
      <c r="D21" s="760"/>
      <c r="E21" s="760"/>
      <c r="F21" s="760"/>
      <c r="G21" s="760"/>
      <c r="H21" s="574"/>
      <c r="I21" s="524"/>
    </row>
    <row r="22" spans="1:11" ht="16.5" thickBot="1" x14ac:dyDescent="0.3">
      <c r="A22" s="764"/>
      <c r="B22" s="765"/>
      <c r="C22" s="765"/>
      <c r="D22" s="765"/>
      <c r="E22" s="765"/>
      <c r="F22" s="765"/>
      <c r="G22" s="765"/>
      <c r="H22" s="765"/>
      <c r="I22" s="766"/>
    </row>
    <row r="23" spans="1:11" ht="16.5" thickBot="1" x14ac:dyDescent="0.3">
      <c r="A23" s="747" t="s">
        <v>374</v>
      </c>
      <c r="B23" s="748"/>
      <c r="C23" s="748"/>
      <c r="D23" s="748"/>
      <c r="E23" s="748"/>
      <c r="F23" s="748"/>
      <c r="G23" s="748"/>
      <c r="H23" s="748"/>
      <c r="I23" s="749"/>
    </row>
    <row r="24" spans="1:11" ht="47.25" x14ac:dyDescent="0.25">
      <c r="A24" s="239"/>
      <c r="B24" s="230" t="s">
        <v>38</v>
      </c>
      <c r="C24" s="231" t="s">
        <v>39</v>
      </c>
      <c r="D24" s="231" t="s">
        <v>316</v>
      </c>
      <c r="E24" s="231" t="s">
        <v>315</v>
      </c>
      <c r="F24" s="231" t="s">
        <v>41</v>
      </c>
      <c r="G24" s="231" t="s">
        <v>130</v>
      </c>
      <c r="H24" s="232" t="s">
        <v>40</v>
      </c>
      <c r="I24" s="448" t="s">
        <v>42</v>
      </c>
    </row>
    <row r="25" spans="1:11" x14ac:dyDescent="0.25">
      <c r="A25" s="240" t="s">
        <v>3</v>
      </c>
      <c r="B25" s="24">
        <v>1323002</v>
      </c>
      <c r="C25" s="24">
        <v>317682</v>
      </c>
      <c r="D25" s="377">
        <v>206370</v>
      </c>
      <c r="E25" s="24">
        <v>162358</v>
      </c>
      <c r="F25" s="24">
        <v>467196</v>
      </c>
      <c r="G25" s="24">
        <v>160677</v>
      </c>
      <c r="H25" s="3">
        <v>0</v>
      </c>
      <c r="I25" s="241">
        <v>8719</v>
      </c>
      <c r="J25" s="173"/>
      <c r="K25" s="13"/>
    </row>
    <row r="26" spans="1:11" x14ac:dyDescent="0.25">
      <c r="A26" s="240" t="s">
        <v>4</v>
      </c>
      <c r="B26" s="24">
        <v>1328845</v>
      </c>
      <c r="C26" s="24">
        <v>318584</v>
      </c>
      <c r="D26" s="377">
        <v>207725</v>
      </c>
      <c r="E26" s="24">
        <v>162563</v>
      </c>
      <c r="F26" s="24">
        <v>469196</v>
      </c>
      <c r="G26" s="24">
        <v>161200</v>
      </c>
      <c r="H26" s="3">
        <v>0</v>
      </c>
      <c r="I26" s="241">
        <v>9577</v>
      </c>
      <c r="J26" s="173"/>
      <c r="K26" s="13"/>
    </row>
    <row r="27" spans="1:11" x14ac:dyDescent="0.25">
      <c r="A27" s="240" t="s">
        <v>5</v>
      </c>
      <c r="B27" s="24">
        <v>1323186</v>
      </c>
      <c r="C27" s="24">
        <v>316916</v>
      </c>
      <c r="D27" s="377">
        <v>207051</v>
      </c>
      <c r="E27" s="24">
        <v>161687</v>
      </c>
      <c r="F27" s="24">
        <v>467999</v>
      </c>
      <c r="G27" s="24">
        <v>160316</v>
      </c>
      <c r="H27" s="3">
        <v>0</v>
      </c>
      <c r="I27" s="241">
        <v>9217</v>
      </c>
      <c r="J27" s="173"/>
      <c r="K27" s="13"/>
    </row>
    <row r="28" spans="1:11" x14ac:dyDescent="0.25">
      <c r="A28" s="240" t="s">
        <v>6</v>
      </c>
      <c r="B28" s="24">
        <v>1281291</v>
      </c>
      <c r="C28" s="24">
        <v>305047</v>
      </c>
      <c r="D28" s="377">
        <v>199708</v>
      </c>
      <c r="E28" s="24">
        <v>156993</v>
      </c>
      <c r="F28" s="24">
        <v>455679</v>
      </c>
      <c r="G28" s="24">
        <v>154376</v>
      </c>
      <c r="H28" s="3">
        <v>0</v>
      </c>
      <c r="I28" s="241">
        <v>9488</v>
      </c>
      <c r="J28" s="626"/>
      <c r="K28" s="13"/>
    </row>
    <row r="29" spans="1:11" x14ac:dyDescent="0.25">
      <c r="A29" s="240" t="s">
        <v>7</v>
      </c>
      <c r="B29" s="24">
        <v>1275519</v>
      </c>
      <c r="C29" s="24">
        <v>302049</v>
      </c>
      <c r="D29" s="377">
        <v>199039</v>
      </c>
      <c r="E29" s="24">
        <v>156004</v>
      </c>
      <c r="F29" s="24">
        <v>454430</v>
      </c>
      <c r="G29" s="24">
        <v>153398</v>
      </c>
      <c r="H29" s="3">
        <v>0</v>
      </c>
      <c r="I29" s="241">
        <v>10599</v>
      </c>
      <c r="J29" s="626"/>
      <c r="K29" s="13"/>
    </row>
    <row r="30" spans="1:11" x14ac:dyDescent="0.25">
      <c r="A30" s="240" t="s">
        <v>8</v>
      </c>
      <c r="B30" s="24">
        <v>1280656</v>
      </c>
      <c r="C30" s="24">
        <v>302778</v>
      </c>
      <c r="D30" s="377">
        <v>199868</v>
      </c>
      <c r="E30" s="24">
        <v>156138</v>
      </c>
      <c r="F30" s="24">
        <v>456528</v>
      </c>
      <c r="G30" s="24">
        <v>154121</v>
      </c>
      <c r="H30" s="3">
        <v>0</v>
      </c>
      <c r="I30" s="241">
        <v>11223</v>
      </c>
      <c r="J30" s="626"/>
      <c r="K30" s="13"/>
    </row>
    <row r="31" spans="1:11" x14ac:dyDescent="0.25">
      <c r="A31" s="240" t="s">
        <v>9</v>
      </c>
      <c r="B31" s="24">
        <v>1266137</v>
      </c>
      <c r="C31" s="24">
        <v>298546</v>
      </c>
      <c r="D31" s="377">
        <v>196478</v>
      </c>
      <c r="E31" s="24">
        <v>154110</v>
      </c>
      <c r="F31" s="24">
        <v>452563</v>
      </c>
      <c r="G31" s="24">
        <v>151421</v>
      </c>
      <c r="H31" s="3">
        <v>0</v>
      </c>
      <c r="I31" s="241">
        <v>13019</v>
      </c>
      <c r="J31" s="626"/>
      <c r="K31" s="13"/>
    </row>
    <row r="32" spans="1:11" x14ac:dyDescent="0.25">
      <c r="A32" s="240" t="s">
        <v>10</v>
      </c>
      <c r="B32" s="24">
        <v>1261234</v>
      </c>
      <c r="C32" s="24">
        <v>297678</v>
      </c>
      <c r="D32" s="377">
        <v>196215</v>
      </c>
      <c r="E32" s="24">
        <v>153275</v>
      </c>
      <c r="F32" s="24">
        <v>451203</v>
      </c>
      <c r="G32" s="24">
        <v>150473</v>
      </c>
      <c r="H32" s="3">
        <v>0</v>
      </c>
      <c r="I32" s="241">
        <v>12390</v>
      </c>
      <c r="J32" s="626"/>
      <c r="K32" s="13"/>
    </row>
    <row r="33" spans="1:16" x14ac:dyDescent="0.25">
      <c r="A33" s="240" t="s">
        <v>11</v>
      </c>
      <c r="B33" s="24">
        <v>1256680</v>
      </c>
      <c r="C33" s="24">
        <v>295682</v>
      </c>
      <c r="D33" s="377">
        <v>195423</v>
      </c>
      <c r="E33" s="24">
        <v>152586</v>
      </c>
      <c r="F33" s="24">
        <v>448838</v>
      </c>
      <c r="G33" s="24">
        <v>149525</v>
      </c>
      <c r="H33" s="3">
        <v>0</v>
      </c>
      <c r="I33" s="241">
        <v>14626</v>
      </c>
      <c r="J33" s="626"/>
      <c r="K33" s="13"/>
    </row>
    <row r="34" spans="1:16" x14ac:dyDescent="0.25">
      <c r="A34" s="240" t="s">
        <v>12</v>
      </c>
      <c r="B34" s="24">
        <v>1240362</v>
      </c>
      <c r="C34" s="24">
        <v>291017</v>
      </c>
      <c r="D34" s="377">
        <v>192558</v>
      </c>
      <c r="E34" s="24">
        <v>150244</v>
      </c>
      <c r="F34" s="24">
        <v>444053</v>
      </c>
      <c r="G34" s="24">
        <v>147221</v>
      </c>
      <c r="H34" s="3">
        <v>0</v>
      </c>
      <c r="I34" s="241">
        <v>15269</v>
      </c>
      <c r="J34" s="626"/>
      <c r="K34" s="13"/>
    </row>
    <row r="35" spans="1:16" x14ac:dyDescent="0.25">
      <c r="A35" s="240" t="s">
        <v>13</v>
      </c>
      <c r="B35" s="595"/>
      <c r="C35" s="595"/>
      <c r="D35" s="595"/>
      <c r="E35" s="595"/>
      <c r="F35" s="595"/>
      <c r="G35" s="595"/>
      <c r="H35" s="579"/>
      <c r="I35" s="596"/>
      <c r="J35" s="173"/>
    </row>
    <row r="36" spans="1:16" x14ac:dyDescent="0.25">
      <c r="A36" s="242" t="s">
        <v>25</v>
      </c>
      <c r="B36" s="595"/>
      <c r="C36" s="595"/>
      <c r="D36" s="595"/>
      <c r="E36" s="595"/>
      <c r="F36" s="595"/>
      <c r="G36" s="595"/>
      <c r="H36" s="579"/>
      <c r="I36" s="596"/>
      <c r="J36" s="173"/>
    </row>
    <row r="37" spans="1:16" x14ac:dyDescent="0.25">
      <c r="A37" s="228" t="s">
        <v>43</v>
      </c>
      <c r="B37" s="60">
        <v>1283691</v>
      </c>
      <c r="C37" s="60">
        <v>304598</v>
      </c>
      <c r="D37" s="60">
        <v>200044</v>
      </c>
      <c r="E37" s="60">
        <v>156596</v>
      </c>
      <c r="F37" s="60">
        <v>456769</v>
      </c>
      <c r="G37" s="60">
        <v>154273</v>
      </c>
      <c r="H37" s="447"/>
      <c r="I37" s="449">
        <v>11413</v>
      </c>
    </row>
    <row r="38" spans="1:16" ht="16.5" thickBot="1" x14ac:dyDescent="0.3">
      <c r="A38" s="229" t="s">
        <v>34</v>
      </c>
      <c r="B38" s="637">
        <v>1297434</v>
      </c>
      <c r="C38" s="767"/>
      <c r="D38" s="767"/>
      <c r="E38" s="767"/>
      <c r="F38" s="767"/>
      <c r="G38" s="767"/>
      <c r="H38" s="767"/>
      <c r="I38" s="768"/>
    </row>
    <row r="39" spans="1:16" x14ac:dyDescent="0.25">
      <c r="A39" s="738" t="s">
        <v>24</v>
      </c>
      <c r="B39" s="739"/>
      <c r="C39" s="739"/>
      <c r="D39" s="739"/>
      <c r="E39" s="739"/>
      <c r="F39" s="739"/>
      <c r="G39" s="739"/>
      <c r="H39" s="739"/>
      <c r="I39" s="740"/>
    </row>
    <row r="40" spans="1:16" x14ac:dyDescent="0.25">
      <c r="A40" s="715" t="s">
        <v>177</v>
      </c>
      <c r="B40" s="716"/>
      <c r="C40" s="716"/>
      <c r="D40" s="716"/>
      <c r="E40" s="716"/>
      <c r="F40" s="716"/>
      <c r="G40" s="716"/>
      <c r="H40" s="716"/>
      <c r="I40" s="717"/>
      <c r="K40" s="170"/>
    </row>
    <row r="41" spans="1:16" ht="25.5" customHeight="1" x14ac:dyDescent="0.25">
      <c r="A41" s="715" t="s">
        <v>277</v>
      </c>
      <c r="B41" s="716"/>
      <c r="C41" s="716"/>
      <c r="D41" s="716"/>
      <c r="E41" s="716"/>
      <c r="F41" s="716"/>
      <c r="G41" s="716"/>
      <c r="H41" s="716"/>
      <c r="I41" s="717"/>
      <c r="K41" s="170"/>
    </row>
    <row r="42" spans="1:16" ht="25.5" customHeight="1" x14ac:dyDescent="0.25">
      <c r="A42" s="715" t="s">
        <v>406</v>
      </c>
      <c r="B42" s="716"/>
      <c r="C42" s="716"/>
      <c r="D42" s="716"/>
      <c r="E42" s="716"/>
      <c r="F42" s="716"/>
      <c r="G42" s="716"/>
      <c r="H42" s="716"/>
      <c r="I42" s="717"/>
    </row>
    <row r="43" spans="1:16" ht="26.25" x14ac:dyDescent="0.25">
      <c r="A43" s="715" t="s">
        <v>394</v>
      </c>
      <c r="B43" s="716"/>
      <c r="C43" s="716"/>
      <c r="D43" s="716"/>
      <c r="E43" s="716"/>
      <c r="F43" s="716"/>
      <c r="G43" s="716"/>
      <c r="H43" s="716"/>
      <c r="I43" s="717"/>
      <c r="J43" s="584" t="s">
        <v>338</v>
      </c>
    </row>
    <row r="44" spans="1:16" ht="14.25" customHeight="1" thickBot="1" x14ac:dyDescent="0.3">
      <c r="A44" s="756" t="s">
        <v>395</v>
      </c>
      <c r="B44" s="757"/>
      <c r="C44" s="757"/>
      <c r="D44" s="757"/>
      <c r="E44" s="757"/>
      <c r="F44" s="757"/>
      <c r="G44" s="757"/>
      <c r="H44" s="757"/>
      <c r="I44" s="758"/>
      <c r="J44" s="174"/>
      <c r="K44" s="174"/>
      <c r="L44" s="174"/>
      <c r="M44" s="174"/>
      <c r="N44" s="174"/>
      <c r="O44" s="174"/>
      <c r="P44" s="11"/>
    </row>
    <row r="46" spans="1:16" x14ac:dyDescent="0.25">
      <c r="B46" s="170"/>
      <c r="C46" s="454"/>
      <c r="D46" s="175"/>
      <c r="E46" s="175"/>
      <c r="F46" s="175"/>
      <c r="G46" s="175"/>
      <c r="H46" s="175"/>
    </row>
    <row r="47" spans="1:16" x14ac:dyDescent="0.25">
      <c r="C47" s="454"/>
    </row>
    <row r="60" spans="5:14" x14ac:dyDescent="0.25">
      <c r="L60" s="455">
        <v>324709460.23000002</v>
      </c>
    </row>
    <row r="61" spans="5:14" ht="37.5" customHeight="1" x14ac:dyDescent="0.25">
      <c r="N61" s="455">
        <v>157</v>
      </c>
    </row>
    <row r="62" spans="5:14" x14ac:dyDescent="0.25">
      <c r="E62" s="455">
        <v>340780549.13</v>
      </c>
      <c r="L62" s="455">
        <v>324709460.23000002</v>
      </c>
    </row>
  </sheetData>
  <mergeCells count="15">
    <mergeCell ref="A43:I43"/>
    <mergeCell ref="A44:I44"/>
    <mergeCell ref="A22:I22"/>
    <mergeCell ref="A23:I23"/>
    <mergeCell ref="C38:I38"/>
    <mergeCell ref="A39:I39"/>
    <mergeCell ref="A40:I40"/>
    <mergeCell ref="A42:I42"/>
    <mergeCell ref="A41:I41"/>
    <mergeCell ref="A21:G21"/>
    <mergeCell ref="A1:H1"/>
    <mergeCell ref="C16:H17"/>
    <mergeCell ref="A18:G18"/>
    <mergeCell ref="A19:G19"/>
    <mergeCell ref="A20:G20"/>
  </mergeCells>
  <printOptions horizontalCentered="1" gridLines="1"/>
  <pageMargins left="0.28999999999999998" right="0.28999999999999998" top="0.7" bottom="0.43" header="0.3" footer="0.27"/>
  <pageSetup scale="72" firstPageNumber="5"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O62"/>
  <sheetViews>
    <sheetView view="pageBreakPreview" zoomScale="85" zoomScaleNormal="100" zoomScaleSheetLayoutView="85" workbookViewId="0">
      <selection activeCell="F34" sqref="F34"/>
    </sheetView>
  </sheetViews>
  <sheetFormatPr defaultColWidth="9.140625" defaultRowHeight="15.75" x14ac:dyDescent="0.25"/>
  <cols>
    <col min="1" max="1" width="33.85546875" style="156" customWidth="1"/>
    <col min="2" max="2" width="38.140625" style="156" customWidth="1"/>
    <col min="3" max="3" width="18.5703125" style="156" customWidth="1"/>
    <col min="4" max="4" width="20.42578125" style="156" customWidth="1"/>
    <col min="5" max="5" width="19.5703125" style="156" customWidth="1"/>
    <col min="6" max="6" width="20" style="156" customWidth="1"/>
    <col min="7" max="7" width="17.42578125" style="156" bestFit="1" customWidth="1"/>
    <col min="8" max="8" width="12.85546875" style="156" bestFit="1" customWidth="1"/>
    <col min="9" max="9" width="12.5703125" style="156" bestFit="1" customWidth="1"/>
    <col min="10" max="10" width="9.7109375" style="156" bestFit="1" customWidth="1"/>
    <col min="11" max="11" width="12.28515625" style="156" bestFit="1" customWidth="1"/>
    <col min="12" max="12" width="11.5703125" style="156" bestFit="1" customWidth="1"/>
    <col min="13" max="14" width="9.140625" style="156"/>
    <col min="15" max="15" width="10.28515625" style="156" bestFit="1" customWidth="1"/>
    <col min="16" max="16384" width="9.140625" style="156"/>
  </cols>
  <sheetData>
    <row r="1" spans="1:15" ht="24.75" customHeight="1" x14ac:dyDescent="0.25">
      <c r="A1" s="769" t="s">
        <v>386</v>
      </c>
      <c r="B1" s="770"/>
      <c r="C1" s="770"/>
      <c r="D1" s="770"/>
      <c r="E1" s="771"/>
      <c r="F1" s="74"/>
    </row>
    <row r="2" spans="1:15" ht="32.25" customHeight="1" x14ac:dyDescent="0.25">
      <c r="A2" s="243"/>
      <c r="B2" s="560" t="s">
        <v>76</v>
      </c>
      <c r="C2" s="561" t="s">
        <v>100</v>
      </c>
      <c r="D2" s="562" t="s">
        <v>22</v>
      </c>
      <c r="E2" s="563" t="s">
        <v>101</v>
      </c>
      <c r="F2" s="157"/>
    </row>
    <row r="3" spans="1:15" x14ac:dyDescent="0.25">
      <c r="A3" s="240" t="s">
        <v>3</v>
      </c>
      <c r="B3" s="15">
        <v>12482189.01</v>
      </c>
      <c r="C3" s="15">
        <v>11177496.609999999</v>
      </c>
      <c r="D3" s="15">
        <v>1304692.3999999999</v>
      </c>
      <c r="E3" s="234">
        <v>0</v>
      </c>
      <c r="F3" s="488"/>
      <c r="G3" s="158"/>
      <c r="H3" s="158"/>
      <c r="I3" s="158"/>
      <c r="J3" s="159"/>
      <c r="K3" s="160"/>
      <c r="L3" s="161"/>
    </row>
    <row r="4" spans="1:15" x14ac:dyDescent="0.25">
      <c r="A4" s="240" t="s">
        <v>4</v>
      </c>
      <c r="B4" s="15">
        <v>15838915.82</v>
      </c>
      <c r="C4" s="15">
        <v>12902463.310000001</v>
      </c>
      <c r="D4" s="15">
        <v>1536452.51</v>
      </c>
      <c r="E4" s="234">
        <v>1400000</v>
      </c>
      <c r="F4" s="162"/>
      <c r="G4" s="158"/>
      <c r="H4" s="158"/>
      <c r="I4" s="158"/>
      <c r="J4" s="159"/>
      <c r="K4" s="160"/>
      <c r="L4" s="161"/>
    </row>
    <row r="5" spans="1:15" x14ac:dyDescent="0.25">
      <c r="A5" s="240" t="s">
        <v>5</v>
      </c>
      <c r="B5" s="15">
        <v>12477313.779999999</v>
      </c>
      <c r="C5" s="15">
        <v>11177406.529999999</v>
      </c>
      <c r="D5" s="15">
        <v>1299907.2500000002</v>
      </c>
      <c r="E5" s="234">
        <v>0</v>
      </c>
      <c r="F5" s="488"/>
      <c r="G5" s="158"/>
      <c r="H5" s="158"/>
      <c r="I5" s="158"/>
      <c r="J5" s="159"/>
      <c r="K5" s="160"/>
      <c r="L5" s="161"/>
    </row>
    <row r="6" spans="1:15" x14ac:dyDescent="0.25">
      <c r="A6" s="240" t="s">
        <v>6</v>
      </c>
      <c r="B6" s="15">
        <v>13111539.910000002</v>
      </c>
      <c r="C6" s="15">
        <v>11631320.290000003</v>
      </c>
      <c r="D6" s="15">
        <v>1480219.6199999999</v>
      </c>
      <c r="E6" s="234">
        <v>0</v>
      </c>
      <c r="F6" s="488"/>
      <c r="G6" s="158"/>
      <c r="H6" s="158"/>
      <c r="I6" s="158"/>
      <c r="J6" s="159"/>
      <c r="K6" s="160"/>
      <c r="L6" s="161"/>
    </row>
    <row r="7" spans="1:15" x14ac:dyDescent="0.25">
      <c r="A7" s="240" t="s">
        <v>7</v>
      </c>
      <c r="B7" s="15">
        <v>12493688.300000001</v>
      </c>
      <c r="C7" s="15">
        <v>11187367</v>
      </c>
      <c r="D7" s="15">
        <v>1306321.3</v>
      </c>
      <c r="E7" s="234">
        <v>0</v>
      </c>
      <c r="F7" s="453"/>
      <c r="G7" s="158"/>
      <c r="H7" s="158"/>
      <c r="I7" s="158"/>
      <c r="J7" s="159"/>
      <c r="K7" s="160"/>
      <c r="L7" s="161"/>
    </row>
    <row r="8" spans="1:15" x14ac:dyDescent="0.25">
      <c r="A8" s="240" t="s">
        <v>8</v>
      </c>
      <c r="B8" s="15">
        <v>24766670.719999999</v>
      </c>
      <c r="C8" s="15">
        <v>17381521.609999999</v>
      </c>
      <c r="D8" s="15">
        <v>1385149.1099999996</v>
      </c>
      <c r="E8" s="234">
        <v>6000000</v>
      </c>
      <c r="F8" s="488"/>
      <c r="G8" s="158"/>
      <c r="H8" s="158"/>
      <c r="I8" s="158"/>
      <c r="J8" s="159"/>
      <c r="K8" s="160"/>
      <c r="L8" s="161"/>
    </row>
    <row r="9" spans="1:15" x14ac:dyDescent="0.25">
      <c r="A9" s="240" t="s">
        <v>9</v>
      </c>
      <c r="B9" s="15">
        <v>24266502.370000005</v>
      </c>
      <c r="C9" s="15">
        <v>19578086.650000006</v>
      </c>
      <c r="D9" s="15">
        <v>1230790.8599999999</v>
      </c>
      <c r="E9" s="234">
        <v>3457624.86</v>
      </c>
      <c r="F9" s="488"/>
      <c r="G9" s="158"/>
      <c r="H9" s="158"/>
      <c r="I9" s="158"/>
      <c r="J9" s="159"/>
      <c r="K9" s="160"/>
      <c r="L9" s="161"/>
    </row>
    <row r="10" spans="1:15" x14ac:dyDescent="0.25">
      <c r="A10" s="240" t="s">
        <v>10</v>
      </c>
      <c r="B10" s="15">
        <v>46989451.160000004</v>
      </c>
      <c r="C10" s="15">
        <v>41212909.359999999</v>
      </c>
      <c r="D10" s="15">
        <v>1243371.3800000001</v>
      </c>
      <c r="E10" s="234">
        <v>4533170.42</v>
      </c>
      <c r="F10" s="162"/>
      <c r="G10" s="158"/>
      <c r="H10" s="158"/>
      <c r="I10" s="158"/>
      <c r="J10" s="159"/>
      <c r="K10" s="160"/>
      <c r="L10" s="161"/>
    </row>
    <row r="11" spans="1:15" x14ac:dyDescent="0.25">
      <c r="A11" s="240" t="s">
        <v>11</v>
      </c>
      <c r="B11" s="15">
        <v>10186132.129999997</v>
      </c>
      <c r="C11" s="15">
        <v>11280238.766362913</v>
      </c>
      <c r="D11" s="15">
        <v>1656501.2793727783</v>
      </c>
      <c r="E11" s="234">
        <v>-2750607.9157356941</v>
      </c>
      <c r="F11" s="488"/>
      <c r="G11" s="158"/>
      <c r="H11" s="163"/>
      <c r="I11" s="158"/>
      <c r="J11" s="159"/>
      <c r="K11" s="160"/>
      <c r="L11" s="161"/>
    </row>
    <row r="12" spans="1:15" x14ac:dyDescent="0.25">
      <c r="A12" s="240" t="s">
        <v>12</v>
      </c>
      <c r="B12" s="15">
        <v>-12732260.48</v>
      </c>
      <c r="C12" s="15">
        <v>-15025373.23</v>
      </c>
      <c r="D12" s="15">
        <v>1622398.57</v>
      </c>
      <c r="E12" s="234">
        <v>670714.18000000005</v>
      </c>
      <c r="F12" s="488"/>
      <c r="G12" s="158"/>
      <c r="H12" s="163"/>
      <c r="I12" s="158"/>
      <c r="J12" s="159"/>
      <c r="K12" s="160"/>
      <c r="L12" s="161"/>
      <c r="O12" s="161"/>
    </row>
    <row r="13" spans="1:15" x14ac:dyDescent="0.25">
      <c r="A13" s="240" t="s">
        <v>13</v>
      </c>
      <c r="B13" s="592"/>
      <c r="C13" s="592"/>
      <c r="D13" s="592"/>
      <c r="E13" s="597"/>
      <c r="F13" s="488"/>
      <c r="G13" s="158"/>
      <c r="H13" s="163"/>
      <c r="I13" s="158"/>
      <c r="J13" s="159"/>
      <c r="K13" s="160"/>
      <c r="L13" s="161"/>
    </row>
    <row r="14" spans="1:15" x14ac:dyDescent="0.25">
      <c r="A14" s="242" t="s">
        <v>25</v>
      </c>
      <c r="B14" s="607"/>
      <c r="C14" s="608"/>
      <c r="D14" s="608"/>
      <c r="E14" s="609"/>
      <c r="F14" s="639"/>
      <c r="G14" s="158"/>
      <c r="H14" s="367"/>
      <c r="K14" s="165"/>
      <c r="L14" s="165"/>
    </row>
    <row r="15" spans="1:15" x14ac:dyDescent="0.25">
      <c r="A15" s="245" t="s">
        <v>33</v>
      </c>
      <c r="B15" s="19">
        <v>159880142.72000003</v>
      </c>
      <c r="C15" s="19">
        <v>132503436.89636292</v>
      </c>
      <c r="D15" s="19">
        <v>14065804.279372778</v>
      </c>
      <c r="E15" s="246">
        <v>13310901.544264305</v>
      </c>
      <c r="F15" s="166"/>
      <c r="G15" s="166"/>
      <c r="H15" s="96"/>
      <c r="I15" s="159"/>
    </row>
    <row r="16" spans="1:15" x14ac:dyDescent="0.25">
      <c r="A16" s="229" t="s">
        <v>34</v>
      </c>
      <c r="B16" s="15">
        <v>187490367</v>
      </c>
      <c r="C16" s="15"/>
      <c r="D16" s="15"/>
      <c r="E16" s="234"/>
      <c r="F16" s="167"/>
      <c r="G16" s="366"/>
    </row>
    <row r="17" spans="1:8" ht="16.5" thickBot="1" x14ac:dyDescent="0.3">
      <c r="A17" s="247" t="s">
        <v>23</v>
      </c>
      <c r="B17" s="237">
        <v>27610224.279999971</v>
      </c>
      <c r="C17" s="248"/>
      <c r="D17" s="248"/>
      <c r="E17" s="249"/>
      <c r="F17" s="164"/>
    </row>
    <row r="18" spans="1:8" ht="12.75" customHeight="1" x14ac:dyDescent="0.25">
      <c r="A18" s="772" t="s">
        <v>24</v>
      </c>
      <c r="B18" s="773"/>
      <c r="C18" s="773"/>
      <c r="D18" s="773"/>
      <c r="E18" s="774"/>
      <c r="F18" s="164"/>
    </row>
    <row r="19" spans="1:8" x14ac:dyDescent="0.25">
      <c r="A19" s="715" t="s">
        <v>414</v>
      </c>
      <c r="B19" s="716"/>
      <c r="C19" s="716"/>
      <c r="D19" s="716"/>
      <c r="E19" s="717"/>
      <c r="F19" s="585" t="s">
        <v>371</v>
      </c>
      <c r="H19" s="585"/>
    </row>
    <row r="20" spans="1:8" s="168" customFormat="1" ht="39" x14ac:dyDescent="0.25">
      <c r="A20" s="715" t="s">
        <v>407</v>
      </c>
      <c r="B20" s="716"/>
      <c r="C20" s="716"/>
      <c r="D20" s="716"/>
      <c r="E20" s="717"/>
      <c r="F20" s="585" t="s">
        <v>341</v>
      </c>
      <c r="G20" s="177"/>
      <c r="H20" s="585"/>
    </row>
    <row r="21" spans="1:8" ht="26.25" x14ac:dyDescent="0.25">
      <c r="A21" s="715" t="s">
        <v>393</v>
      </c>
      <c r="B21" s="716"/>
      <c r="C21" s="716"/>
      <c r="D21" s="716"/>
      <c r="E21" s="717"/>
      <c r="F21" s="585" t="s">
        <v>338</v>
      </c>
    </row>
    <row r="22" spans="1:8" x14ac:dyDescent="0.25">
      <c r="A22" s="715" t="s">
        <v>401</v>
      </c>
      <c r="B22" s="716"/>
      <c r="C22" s="716"/>
      <c r="D22" s="716"/>
      <c r="E22" s="717"/>
      <c r="F22" s="585"/>
      <c r="G22" s="364"/>
    </row>
    <row r="23" spans="1:8" ht="27" thickBot="1" x14ac:dyDescent="0.3">
      <c r="A23" s="756" t="s">
        <v>408</v>
      </c>
      <c r="B23" s="757"/>
      <c r="C23" s="757"/>
      <c r="D23" s="757"/>
      <c r="E23" s="758"/>
      <c r="F23" s="585" t="s">
        <v>338</v>
      </c>
    </row>
    <row r="24" spans="1:8" x14ac:dyDescent="0.25">
      <c r="A24" s="164"/>
    </row>
    <row r="25" spans="1:8" x14ac:dyDescent="0.25">
      <c r="A25" s="164"/>
    </row>
    <row r="62" ht="37.5" customHeight="1" x14ac:dyDescent="0.25"/>
  </sheetData>
  <mergeCells count="7">
    <mergeCell ref="A23:E23"/>
    <mergeCell ref="A1:E1"/>
    <mergeCell ref="A18:E18"/>
    <mergeCell ref="A20:E20"/>
    <mergeCell ref="A21:E21"/>
    <mergeCell ref="A22:E22"/>
    <mergeCell ref="A19:E19"/>
  </mergeCells>
  <printOptions horizontalCentered="1" gridLines="1"/>
  <pageMargins left="0.28999999999999998" right="0.28999999999999998" top="0.7" bottom="0.43" header="0.3" footer="0.27"/>
  <pageSetup scale="89" firstPageNumber="6"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Premiums Expend</vt:lpstr>
      <vt:lpstr>Premiums Approp</vt:lpstr>
      <vt:lpstr>Hospital Supplemental Payments</vt:lpstr>
      <vt:lpstr>Medicaid Caseload</vt:lpstr>
      <vt:lpstr>Caseload by Program</vt:lpstr>
      <vt:lpstr>ACC RCCO County</vt:lpstr>
      <vt:lpstr>MH Expend</vt:lpstr>
      <vt:lpstr>MH by BHO</vt:lpstr>
      <vt:lpstr>CBHP Expend</vt:lpstr>
      <vt:lpstr>CBHP Caseload</vt:lpstr>
      <vt:lpstr>DiDD Expend and Caseload</vt:lpstr>
      <vt:lpstr>OAP Expend and Caseload</vt:lpstr>
      <vt:lpstr>MMA Expend and Caseload</vt:lpstr>
      <vt:lpstr>Expansion Expenditure</vt:lpstr>
      <vt:lpstr>Medicaid Caseload Adjusted</vt:lpstr>
      <vt:lpstr>Caseload by Program Adjusted</vt:lpstr>
      <vt:lpstr>Graph for Web- DO NOT PRINT</vt:lpstr>
      <vt:lpstr>'ACC RCCO County'!Print_Area</vt:lpstr>
      <vt:lpstr>'Caseload by Program'!Print_Area</vt:lpstr>
      <vt:lpstr>'Caseload by Program Adjusted'!Print_Area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'Medicaid Caseload Adjusted'!Print_Area</vt:lpstr>
      <vt:lpstr>'MH by BHO'!Print_Area</vt:lpstr>
      <vt:lpstr>'MH Expend'!Print_Area</vt:lpstr>
      <vt:lpstr>'MMA Expend and Caseload'!Print_Area</vt:lpstr>
      <vt:lpstr>'OAP Expend and Caseload'!Print_Area</vt:lpstr>
      <vt:lpstr>'Premiums Approp'!Print_Area</vt:lpstr>
      <vt:lpstr>'Premiums Expend'!Print_Area</vt:lpstr>
      <vt:lpstr>'ACC RCCO County'!Print_Titles</vt:lpstr>
      <vt:lpstr>'Caseload by Program'!Print_Titles</vt:lpstr>
      <vt:lpstr>'Caseload by Program Adjusted'!Print_Titles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McCluskey, Austen</cp:lastModifiedBy>
  <cp:lastPrinted>2018-03-14T15:00:21Z</cp:lastPrinted>
  <dcterms:created xsi:type="dcterms:W3CDTF">2003-06-04T15:46:14Z</dcterms:created>
  <dcterms:modified xsi:type="dcterms:W3CDTF">2018-05-15T17:48:41Z</dcterms:modified>
</cp:coreProperties>
</file>