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17-18\07 January 2018\"/>
    </mc:Choice>
  </mc:AlternateContent>
  <bookViews>
    <workbookView xWindow="0" yWindow="0" windowWidth="15090" windowHeight="6255" tabRatio="692"/>
  </bookViews>
  <sheets>
    <sheet name="Premiums Expend" sheetId="30" r:id="rId1"/>
    <sheet name="Premiums Approp" sheetId="11" r:id="rId2"/>
    <sheet name="Hospital Supplemental Payments" sheetId="25" r:id="rId3"/>
    <sheet name="Medicaid Caseload" sheetId="29" r:id="rId4"/>
    <sheet name="Caseload by Program" sheetId="26" r:id="rId5"/>
    <sheet name="ACC RCCO County" sheetId="27" r:id="rId6"/>
    <sheet name="MH Expend" sheetId="31" r:id="rId7"/>
    <sheet name="MH by BHO" sheetId="32" r:id="rId8"/>
    <sheet name="CBHP Expend" sheetId="33" r:id="rId9"/>
    <sheet name="CBHP Caseload" sheetId="15" r:id="rId10"/>
    <sheet name="DiDD Expend and Caseload" sheetId="24" r:id="rId11"/>
    <sheet name="OAP Expend and Caseload" sheetId="20" r:id="rId12"/>
    <sheet name="MMA Expend and Caseload" sheetId="21" r:id="rId13"/>
    <sheet name="Expansion Expenditure" sheetId="28" state="hidden" r:id="rId14"/>
    <sheet name="Graph for Web- DO NOT PRINT" sheetId="23" state="hidden" r:id="rId15"/>
  </sheets>
  <externalReferences>
    <externalReference r:id="rId16"/>
    <externalReference r:id="rId17"/>
  </externalReferences>
  <definedNames>
    <definedName name="_ra1" localSheetId="8">'[1]% Cost Covd'!#REF!</definedName>
    <definedName name="_ra1" localSheetId="2">'[1]% Cost Covd'!#REF!</definedName>
    <definedName name="_ra1" localSheetId="3">'[1]% Cost Covd'!#REF!</definedName>
    <definedName name="_ra1" localSheetId="7">'[1]% Cost Covd'!#REF!</definedName>
    <definedName name="_ra1" localSheetId="6">'[1]% Cost Covd'!#REF!</definedName>
    <definedName name="_ra1" localSheetId="0">'[1]% Cost Covd'!#REF!</definedName>
    <definedName name="_ra1">'[1]% Cost Covd'!#REF!</definedName>
    <definedName name="mec" localSheetId="8">'[1]% Cost Covd'!#REF!</definedName>
    <definedName name="mec" localSheetId="2">'[1]% Cost Covd'!#REF!</definedName>
    <definedName name="mec" localSheetId="3">'[1]% Cost Covd'!#REF!</definedName>
    <definedName name="mec" localSheetId="7">'[1]% Cost Covd'!#REF!</definedName>
    <definedName name="mec" localSheetId="6">'[1]% Cost Covd'!#REF!</definedName>
    <definedName name="mec" localSheetId="0">'[1]% Cost Covd'!#REF!</definedName>
    <definedName name="mec">'[1]% Cost Covd'!#REF!</definedName>
    <definedName name="MedEdCap" localSheetId="8">'[2]% Cost Covd'!#REF!</definedName>
    <definedName name="MedEdCap" localSheetId="3">'[2]% Cost Covd'!#REF!</definedName>
    <definedName name="MedEdCap" localSheetId="7">'[2]% Cost Covd'!#REF!</definedName>
    <definedName name="MedEdCap" localSheetId="6">'[2]% Cost Covd'!#REF!</definedName>
    <definedName name="MedEdCap" localSheetId="0">'[2]% Cost Covd'!#REF!</definedName>
    <definedName name="MedEdCap">'[2]% Cost Covd'!#REF!</definedName>
    <definedName name="mm" localSheetId="8">'[1]% Cost Covd'!#REF!</definedName>
    <definedName name="mm" localSheetId="7">'[1]% Cost Covd'!#REF!</definedName>
    <definedName name="mm" localSheetId="6">'[1]% Cost Covd'!#REF!</definedName>
    <definedName name="mm" localSheetId="0">'[1]% Cost Covd'!#REF!</definedName>
    <definedName name="mm">'[1]% Cost Covd'!#REF!</definedName>
    <definedName name="nn" localSheetId="8">'[1]% Cost Covd'!#REF!</definedName>
    <definedName name="nn" localSheetId="7">'[1]% Cost Covd'!#REF!</definedName>
    <definedName name="nn" localSheetId="6">'[1]% Cost Covd'!#REF!</definedName>
    <definedName name="nn" localSheetId="0">'[1]% Cost Covd'!#REF!</definedName>
    <definedName name="nn">'[1]% Cost Covd'!#REF!</definedName>
    <definedName name="_xlnm.Print_Area" localSheetId="5">'ACC RCCO County'!$B$2:$P$85</definedName>
    <definedName name="_xlnm.Print_Area" localSheetId="4">'Caseload by Program'!$A$1:$Q$122</definedName>
    <definedName name="_xlnm.Print_Area" localSheetId="9">'CBHP Caseload'!$B$1:$J$129</definedName>
    <definedName name="_xlnm.Print_Area" localSheetId="8">'CBHP Expend'!$A$1:$E$22</definedName>
    <definedName name="_xlnm.Print_Area" localSheetId="10">'DiDD Expend and Caseload'!$A$1:$Q$40</definedName>
    <definedName name="_xlnm.Print_Area" localSheetId="13">'Expansion Expenditure'!$B$2:$Q$39,'Expansion Expenditure'!$B$41:$Q$78,'Expansion Expenditure'!$B$80:$Q$117</definedName>
    <definedName name="_xlnm.Print_Area" localSheetId="2">'Hospital Supplemental Payments'!$A$2:$O$12</definedName>
    <definedName name="_xlnm.Print_Area" localSheetId="3">'Medicaid Caseload'!$B$1:$R$136</definedName>
    <definedName name="_xlnm.Print_Area" localSheetId="7">'MH by BHO'!$A$1:$I$44</definedName>
    <definedName name="_xlnm.Print_Area" localSheetId="6">'MH Expend'!$A$1:$D$23</definedName>
    <definedName name="_xlnm.Print_Area" localSheetId="12">'MMA Expend and Caseload'!$A$1:$C$22</definedName>
    <definedName name="_xlnm.Print_Area" localSheetId="11">'OAP Expend and Caseload'!$A$1:$C$36</definedName>
    <definedName name="_xlnm.Print_Area" localSheetId="1">'Premiums Approp'!$B$3:$C$13</definedName>
    <definedName name="_xlnm.Print_Area" localSheetId="0">'Premiums Expend'!$A$1:$O$63</definedName>
    <definedName name="_xlnm.Print_Titles" localSheetId="5">'ACC RCCO County'!$2:$3</definedName>
    <definedName name="_xlnm.Print_Titles" localSheetId="4">'Caseload by Program'!$2:$2</definedName>
    <definedName name="rahc" localSheetId="8">'[1]% Cost Covd'!#REF!</definedName>
    <definedName name="rahc" localSheetId="2">'[1]% Cost Covd'!#REF!</definedName>
    <definedName name="rahc" localSheetId="7">'[1]% Cost Covd'!#REF!</definedName>
    <definedName name="rahc" localSheetId="6">'[1]% Cost Covd'!#REF!</definedName>
    <definedName name="rahc" localSheetId="0">'[1]% Cost Covd'!#REF!</definedName>
    <definedName name="rahc">'[1]% Cost Covd'!#REF!</definedName>
    <definedName name="rcap1" localSheetId="8">'[1]% Cost Covd'!#REF!</definedName>
    <definedName name="rcap1" localSheetId="2">'[1]% Cost Covd'!#REF!</definedName>
    <definedName name="rcap1" localSheetId="7">'[1]% Cost Covd'!#REF!</definedName>
    <definedName name="rcap1" localSheetId="6">'[1]% Cost Covd'!#REF!</definedName>
    <definedName name="rcap1" localSheetId="0">'[1]% Cost Covd'!#REF!</definedName>
    <definedName name="rcap1">'[1]% Cost Covd'!#REF!</definedName>
    <definedName name="rcc" localSheetId="8">'[1]% Cost Covd'!#REF!</definedName>
    <definedName name="rcc" localSheetId="2">'[1]% Cost Covd'!#REF!</definedName>
    <definedName name="rcc" localSheetId="7">'[1]% Cost Covd'!#REF!</definedName>
    <definedName name="rcc" localSheetId="6">'[1]% Cost Covd'!#REF!</definedName>
    <definedName name="rcc" localSheetId="0">'[1]% Cost Covd'!#REF!</definedName>
    <definedName name="rcc">'[1]% Cost Covd'!#REF!</definedName>
    <definedName name="rr" localSheetId="8">'[1]% Cost Covd'!#REF!</definedName>
    <definedName name="rr" localSheetId="2">'[1]% Cost Covd'!#REF!</definedName>
    <definedName name="rr" localSheetId="7">'[1]% Cost Covd'!#REF!</definedName>
    <definedName name="rr" localSheetId="6">'[1]% Cost Covd'!#REF!</definedName>
    <definedName name="rr" localSheetId="0">'[1]% Cost Covd'!#REF!</definedName>
    <definedName name="rr">'[1]% Cost Covd'!#REF!</definedName>
    <definedName name="RurAncil1" localSheetId="8">'[2]% Cost Covd'!#REF!</definedName>
    <definedName name="RurAncil1" localSheetId="7">'[2]% Cost Covd'!#REF!</definedName>
    <definedName name="RurAncil1" localSheetId="6">'[2]% Cost Covd'!#REF!</definedName>
    <definedName name="RurAncil1" localSheetId="0">'[2]% Cost Covd'!#REF!</definedName>
    <definedName name="RurAncil1">'[2]% Cost Covd'!#REF!</definedName>
    <definedName name="RurAncilHospCap" localSheetId="8">'[2]% Cost Covd'!#REF!</definedName>
    <definedName name="RurAncilHospCap" localSheetId="7">'[2]% Cost Covd'!#REF!</definedName>
    <definedName name="RurAncilHospCap" localSheetId="6">'[2]% Cost Covd'!#REF!</definedName>
    <definedName name="RurAncilHospCap" localSheetId="0">'[2]% Cost Covd'!#REF!</definedName>
    <definedName name="RurAncilHospCap">'[2]% Cost Covd'!#REF!</definedName>
    <definedName name="RurCaptl1" localSheetId="8">'[2]% Cost Covd'!#REF!</definedName>
    <definedName name="RurCaptl1" localSheetId="7">'[2]% Cost Covd'!#REF!</definedName>
    <definedName name="RurCaptl1" localSheetId="6">'[2]% Cost Covd'!#REF!</definedName>
    <definedName name="RurCaptl1" localSheetId="0">'[2]% Cost Covd'!#REF!</definedName>
    <definedName name="RurCaptl1">'[2]% Cost Covd'!#REF!</definedName>
    <definedName name="RurCaptlHospCap" localSheetId="8">'[2]% Cost Covd'!#REF!</definedName>
    <definedName name="RurCaptlHospCap" localSheetId="7">'[2]% Cost Covd'!#REF!</definedName>
    <definedName name="RurCaptlHospCap" localSheetId="6">'[2]% Cost Covd'!#REF!</definedName>
    <definedName name="RurCaptlHospCap" localSheetId="0">'[2]% Cost Covd'!#REF!</definedName>
    <definedName name="RurCaptlHospCap">'[2]% Cost Covd'!#REF!</definedName>
    <definedName name="RurMeded1" localSheetId="8">'[2]% Cost Covd'!#REF!</definedName>
    <definedName name="RurMeded1" localSheetId="7">'[2]% Cost Covd'!#REF!</definedName>
    <definedName name="RurMeded1" localSheetId="6">'[2]% Cost Covd'!#REF!</definedName>
    <definedName name="RurMeded1" localSheetId="0">'[2]% Cost Covd'!#REF!</definedName>
    <definedName name="RurMeded1">'[2]% Cost Covd'!#REF!</definedName>
    <definedName name="RurMededHospCap" localSheetId="8">'[2]% Cost Covd'!#REF!</definedName>
    <definedName name="RurMededHospCap" localSheetId="7">'[2]% Cost Covd'!#REF!</definedName>
    <definedName name="RurMededHospCap" localSheetId="6">'[2]% Cost Covd'!#REF!</definedName>
    <definedName name="RurMededHospCap" localSheetId="0">'[2]% Cost Covd'!#REF!</definedName>
    <definedName name="RurMededHospCap">'[2]% Cost Covd'!#REF!</definedName>
    <definedName name="RurRout1" localSheetId="8">'[2]% Cost Covd'!#REF!</definedName>
    <definedName name="RurRout1" localSheetId="7">'[2]% Cost Covd'!#REF!</definedName>
    <definedName name="RurRout1" localSheetId="6">'[2]% Cost Covd'!#REF!</definedName>
    <definedName name="RurRout1" localSheetId="0">'[2]% Cost Covd'!#REF!</definedName>
    <definedName name="RurRout1">'[2]% Cost Covd'!#REF!</definedName>
    <definedName name="RurRoutHospCap" localSheetId="8">'[2]% Cost Covd'!#REF!</definedName>
    <definedName name="RurRoutHospCap" localSheetId="7">'[2]% Cost Covd'!#REF!</definedName>
    <definedName name="RurRoutHospCap" localSheetId="6">'[2]% Cost Covd'!#REF!</definedName>
    <definedName name="RurRoutHospCap" localSheetId="0">'[2]% Cost Covd'!#REF!</definedName>
    <definedName name="RurRoutHospCap">'[2]% Cost Covd'!#REF!</definedName>
    <definedName name="trwe" localSheetId="8">'[1]% Cost Covd'!#REF!</definedName>
    <definedName name="trwe" localSheetId="7">'[1]% Cost Covd'!#REF!</definedName>
    <definedName name="trwe" localSheetId="6">'[1]% Cost Covd'!#REF!</definedName>
    <definedName name="trwe" localSheetId="0">'[1]% Cost Covd'!#REF!</definedName>
    <definedName name="trwe">'[1]% Cost Covd'!#REF!</definedName>
  </definedNames>
  <calcPr calcId="171027" calcCompleted="0"/>
</workbook>
</file>

<file path=xl/calcChain.xml><?xml version="1.0" encoding="utf-8"?>
<calcChain xmlns="http://schemas.openxmlformats.org/spreadsheetml/2006/main">
  <c r="D23" i="24" l="1"/>
  <c r="E23" i="24"/>
  <c r="F23" i="24"/>
  <c r="G23" i="24"/>
  <c r="H23" i="24"/>
  <c r="I23" i="24"/>
  <c r="J23" i="24"/>
  <c r="K23" i="24"/>
  <c r="L23" i="24"/>
  <c r="M23" i="24"/>
  <c r="N23" i="24"/>
  <c r="C23" i="24"/>
  <c r="O55" i="30" l="1"/>
  <c r="B8" i="32" l="1"/>
  <c r="K120" i="29" l="1"/>
  <c r="I120" i="29"/>
  <c r="J112" i="15" l="1"/>
  <c r="F112" i="15"/>
  <c r="R112" i="29" l="1"/>
  <c r="I23" i="26" l="1"/>
  <c r="C23" i="26"/>
  <c r="D23" i="26"/>
  <c r="M23" i="26"/>
  <c r="E23" i="26"/>
  <c r="I9" i="26"/>
  <c r="J23" i="26"/>
  <c r="N23" i="26"/>
  <c r="F23" i="26"/>
  <c r="B23" i="26"/>
  <c r="Q23" i="26"/>
  <c r="P23" i="26"/>
  <c r="L23" i="26"/>
  <c r="H23" i="26"/>
  <c r="I83" i="27"/>
  <c r="O23" i="26"/>
  <c r="K23" i="26"/>
  <c r="G23" i="26"/>
  <c r="H9" i="26" l="1"/>
  <c r="B9" i="26"/>
  <c r="J9" i="26"/>
  <c r="K9" i="26"/>
  <c r="L9" i="26"/>
  <c r="F9" i="26"/>
  <c r="E9" i="26"/>
  <c r="D9" i="26"/>
  <c r="N9" i="26"/>
  <c r="G9" i="26"/>
  <c r="O9" i="26"/>
  <c r="P9" i="26"/>
  <c r="Q9" i="26"/>
  <c r="M9" i="26"/>
  <c r="C9" i="26"/>
  <c r="C7" i="21"/>
  <c r="H8" i="24" l="1"/>
  <c r="B8" i="33"/>
  <c r="H28" i="24"/>
  <c r="B8" i="31"/>
  <c r="C6" i="21" l="1"/>
  <c r="J111" i="15" l="1"/>
  <c r="F111" i="15"/>
  <c r="B7" i="33" l="1"/>
  <c r="G8" i="24" l="1"/>
  <c r="G28" i="24"/>
  <c r="B7" i="31"/>
  <c r="B7" i="32"/>
  <c r="C120" i="29" l="1"/>
  <c r="R111" i="29"/>
  <c r="H83" i="27" l="1"/>
  <c r="F22" i="26"/>
  <c r="Q22" i="26"/>
  <c r="B22" i="26"/>
  <c r="N22" i="26"/>
  <c r="J22" i="26"/>
  <c r="M22" i="26"/>
  <c r="I22" i="26"/>
  <c r="E22" i="26"/>
  <c r="O22" i="26"/>
  <c r="K22" i="26"/>
  <c r="G22" i="26"/>
  <c r="C22" i="26"/>
  <c r="P22" i="26"/>
  <c r="L22" i="26"/>
  <c r="H22" i="26"/>
  <c r="D22" i="26"/>
  <c r="L8" i="26" l="1"/>
  <c r="K8" i="26"/>
  <c r="M8" i="26"/>
  <c r="D8" i="26"/>
  <c r="C8" i="26"/>
  <c r="E8" i="26"/>
  <c r="N8" i="26"/>
  <c r="H8" i="26"/>
  <c r="G8" i="26"/>
  <c r="I8" i="26"/>
  <c r="B8" i="26"/>
  <c r="Q8" i="26"/>
  <c r="P8" i="26"/>
  <c r="O8" i="26"/>
  <c r="J8" i="26"/>
  <c r="F8" i="26"/>
  <c r="O10" i="25"/>
  <c r="G11" i="25"/>
  <c r="G8" i="25" l="1"/>
  <c r="G12" i="25" s="1"/>
  <c r="B6" i="33" l="1"/>
  <c r="F8" i="24" l="1"/>
  <c r="E28" i="24"/>
  <c r="B6" i="21" l="1"/>
  <c r="B6" i="32" l="1"/>
  <c r="B6" i="31" l="1"/>
  <c r="G83" i="27" l="1"/>
  <c r="L21" i="26" l="1"/>
  <c r="D21" i="26"/>
  <c r="C21" i="26"/>
  <c r="B21" i="26"/>
  <c r="P21" i="26"/>
  <c r="H21" i="26"/>
  <c r="O21" i="26"/>
  <c r="K21" i="26"/>
  <c r="G21" i="26"/>
  <c r="N21" i="26"/>
  <c r="J21" i="26"/>
  <c r="F21" i="26"/>
  <c r="Q21" i="26"/>
  <c r="M21" i="26"/>
  <c r="I21" i="26"/>
  <c r="E21" i="26"/>
  <c r="F110" i="15"/>
  <c r="J110" i="15"/>
  <c r="R110" i="29"/>
  <c r="G7" i="26" l="1"/>
  <c r="P7" i="26"/>
  <c r="L7" i="26"/>
  <c r="E7" i="26"/>
  <c r="K7" i="26"/>
  <c r="B7" i="26"/>
  <c r="F7" i="26"/>
  <c r="I7" i="26"/>
  <c r="J7" i="26"/>
  <c r="O7" i="26"/>
  <c r="C7" i="26"/>
  <c r="M7" i="26"/>
  <c r="N7" i="26"/>
  <c r="H7" i="26"/>
  <c r="D7" i="26"/>
  <c r="Q7" i="26"/>
  <c r="F11" i="25"/>
  <c r="F8" i="25" l="1"/>
  <c r="F12" i="25" l="1"/>
  <c r="Q120" i="29" l="1"/>
  <c r="L120" i="29"/>
  <c r="E120" i="29"/>
  <c r="G120" i="29"/>
  <c r="J120" i="29"/>
  <c r="B5" i="33" l="1"/>
  <c r="J109" i="15" l="1"/>
  <c r="F109" i="15"/>
  <c r="F83" i="27" l="1"/>
  <c r="F20" i="26"/>
  <c r="R109" i="29"/>
  <c r="F6" i="26" l="1"/>
  <c r="D20" i="26"/>
  <c r="O20" i="26"/>
  <c r="K20" i="26"/>
  <c r="G20" i="26"/>
  <c r="E20" i="26"/>
  <c r="C20" i="26"/>
  <c r="H20" i="26"/>
  <c r="P20" i="26"/>
  <c r="L20" i="26"/>
  <c r="N20" i="26"/>
  <c r="J20" i="26"/>
  <c r="B20" i="26"/>
  <c r="Q20" i="26"/>
  <c r="M20" i="26"/>
  <c r="I20" i="26"/>
  <c r="L6" i="26" l="1"/>
  <c r="B6" i="26"/>
  <c r="P6" i="26"/>
  <c r="C6" i="26"/>
  <c r="O6" i="26"/>
  <c r="J6" i="26"/>
  <c r="H6" i="26"/>
  <c r="E6" i="26"/>
  <c r="D6" i="26"/>
  <c r="I6" i="26"/>
  <c r="M6" i="26"/>
  <c r="N6" i="26"/>
  <c r="G6" i="26"/>
  <c r="Q6" i="26"/>
  <c r="K6" i="26"/>
  <c r="B5" i="32"/>
  <c r="B5" i="21" l="1"/>
  <c r="B5" i="31" l="1"/>
  <c r="F120" i="29"/>
  <c r="D120" i="29"/>
  <c r="D28" i="24" l="1"/>
  <c r="E19" i="26" l="1"/>
  <c r="B19" i="26"/>
  <c r="D19" i="26"/>
  <c r="C19" i="26"/>
  <c r="L19" i="26"/>
  <c r="N19" i="26"/>
  <c r="M19" i="26"/>
  <c r="P19" i="26"/>
  <c r="O19" i="26"/>
  <c r="K19" i="26"/>
  <c r="G19" i="26"/>
  <c r="I19" i="26"/>
  <c r="J19" i="26"/>
  <c r="F19" i="26"/>
  <c r="Q19" i="26"/>
  <c r="H19" i="26"/>
  <c r="E83" i="27" l="1"/>
  <c r="F108" i="15"/>
  <c r="J108" i="15"/>
  <c r="B5" i="26"/>
  <c r="C5" i="26"/>
  <c r="D5" i="26"/>
  <c r="E5" i="26"/>
  <c r="G5" i="26"/>
  <c r="H5" i="26"/>
  <c r="I5" i="26"/>
  <c r="K5" i="26"/>
  <c r="L5" i="26"/>
  <c r="M5" i="26"/>
  <c r="N5" i="26"/>
  <c r="O5" i="26"/>
  <c r="P5" i="26"/>
  <c r="F5" i="26"/>
  <c r="J5" i="26"/>
  <c r="R108" i="29"/>
  <c r="Q5" i="26" l="1"/>
  <c r="B4" i="33" l="1"/>
  <c r="B4" i="21" l="1"/>
  <c r="B4" i="32" l="1"/>
  <c r="B4" i="31" l="1"/>
  <c r="I24" i="30" l="1"/>
  <c r="J24" i="30"/>
  <c r="K24" i="30"/>
  <c r="L24" i="30"/>
  <c r="M24" i="30"/>
  <c r="N24" i="30"/>
  <c r="I57" i="30"/>
  <c r="J57" i="30"/>
  <c r="K57" i="30"/>
  <c r="L57" i="30"/>
  <c r="M57" i="30"/>
  <c r="N57" i="30"/>
  <c r="I47" i="30"/>
  <c r="J47" i="30"/>
  <c r="K47" i="30"/>
  <c r="L47" i="30"/>
  <c r="M47" i="30"/>
  <c r="N47" i="30"/>
  <c r="I43" i="30"/>
  <c r="J43" i="30"/>
  <c r="K43" i="30"/>
  <c r="L43" i="30"/>
  <c r="M43" i="30"/>
  <c r="N43" i="30"/>
  <c r="I37" i="30"/>
  <c r="J37" i="30"/>
  <c r="K37" i="30"/>
  <c r="L37" i="30"/>
  <c r="M37" i="30"/>
  <c r="N37" i="30"/>
  <c r="J107" i="15"/>
  <c r="F107" i="15"/>
  <c r="M59" i="30" l="1"/>
  <c r="I59" i="30"/>
  <c r="L59" i="30"/>
  <c r="K59" i="30"/>
  <c r="N59" i="30"/>
  <c r="J59" i="30"/>
  <c r="A107" i="15"/>
  <c r="A108" i="15"/>
  <c r="A109" i="15"/>
  <c r="A110" i="15"/>
  <c r="A111" i="15"/>
  <c r="A112" i="15"/>
  <c r="A113" i="15"/>
  <c r="A114" i="15"/>
  <c r="A115" i="15"/>
  <c r="A116" i="15"/>
  <c r="A117" i="15"/>
  <c r="A118" i="15"/>
  <c r="J120" i="15"/>
  <c r="I120" i="15"/>
  <c r="G120" i="15"/>
  <c r="F120" i="15"/>
  <c r="E120" i="15"/>
  <c r="C120" i="15"/>
  <c r="I106" i="15"/>
  <c r="H106" i="15"/>
  <c r="G106" i="15"/>
  <c r="E106" i="15"/>
  <c r="C106" i="15"/>
  <c r="A106" i="15" s="1"/>
  <c r="C122" i="15" l="1" a="1"/>
  <c r="C122" i="15" s="1"/>
  <c r="C123" i="15" s="1" a="1"/>
  <c r="C123" i="15" s="1"/>
  <c r="E122" i="15" a="1"/>
  <c r="E122" i="15" s="1"/>
  <c r="E123" i="15" s="1" a="1"/>
  <c r="E123" i="15" s="1"/>
  <c r="I124" i="15" a="1"/>
  <c r="I124" i="15" s="1"/>
  <c r="I125" i="15" s="1" a="1"/>
  <c r="I125" i="15" s="1"/>
  <c r="H124" i="15" a="1"/>
  <c r="H124" i="15" s="1"/>
  <c r="H125" i="15" s="1" a="1"/>
  <c r="H125" i="15" s="1"/>
  <c r="I122" i="15" a="1"/>
  <c r="I122" i="15" s="1"/>
  <c r="I123" i="15" s="1" a="1"/>
  <c r="I123" i="15" s="1"/>
  <c r="G124" i="15" a="1"/>
  <c r="G124" i="15" s="1"/>
  <c r="G125" i="15" s="1" a="1"/>
  <c r="G125" i="15" s="1"/>
  <c r="E124" i="15" a="1"/>
  <c r="E124" i="15" s="1"/>
  <c r="E125" i="15" s="1" a="1"/>
  <c r="E125" i="15" s="1"/>
  <c r="D124" i="15" a="1"/>
  <c r="D124" i="15" s="1"/>
  <c r="D125" i="15" s="1" a="1"/>
  <c r="D125" i="15" s="1"/>
  <c r="G122" i="15" a="1"/>
  <c r="G122" i="15" s="1"/>
  <c r="G123" i="15" s="1" a="1"/>
  <c r="G123" i="15" s="1"/>
  <c r="D122" i="15" a="1"/>
  <c r="D122" i="15" s="1"/>
  <c r="D123" i="15" s="1" a="1"/>
  <c r="D123" i="15" s="1"/>
  <c r="C124" i="15" a="1"/>
  <c r="C124" i="15" s="1"/>
  <c r="C125" i="15" s="1" a="1"/>
  <c r="C125" i="15" s="1"/>
  <c r="H122" i="15" a="1"/>
  <c r="H122" i="15" s="1"/>
  <c r="H123" i="15" s="1" a="1"/>
  <c r="H123" i="15" s="1"/>
  <c r="B38" i="32" l="1"/>
  <c r="B16" i="31"/>
  <c r="B16" i="32" s="1"/>
  <c r="R107" i="29" l="1"/>
  <c r="E72" i="26" l="1"/>
  <c r="B44" i="26"/>
  <c r="H44" i="26"/>
  <c r="D44" i="26"/>
  <c r="H72" i="26"/>
  <c r="D72" i="26"/>
  <c r="H101" i="26"/>
  <c r="G44" i="26"/>
  <c r="K72" i="26"/>
  <c r="G72" i="26"/>
  <c r="C72" i="26"/>
  <c r="E101" i="26"/>
  <c r="F44" i="26"/>
  <c r="B72" i="26"/>
  <c r="J72" i="26"/>
  <c r="F72" i="26"/>
  <c r="D101" i="26"/>
  <c r="C44" i="26"/>
  <c r="J101" i="26" l="1"/>
  <c r="F101" i="26"/>
  <c r="C101" i="26"/>
  <c r="B101" i="26"/>
  <c r="O7" i="25" l="1"/>
  <c r="O4" i="25"/>
  <c r="O6" i="25"/>
  <c r="B3" i="21"/>
  <c r="A107" i="29" l="1"/>
  <c r="A108" i="29"/>
  <c r="A109" i="29"/>
  <c r="A110" i="29"/>
  <c r="A111" i="29"/>
  <c r="A112" i="29"/>
  <c r="A113" i="29"/>
  <c r="A114" i="29"/>
  <c r="A115" i="29"/>
  <c r="A116" i="29"/>
  <c r="A117" i="29"/>
  <c r="A118" i="29"/>
  <c r="H120" i="29"/>
  <c r="M120" i="29"/>
  <c r="N120" i="29"/>
  <c r="O120" i="29"/>
  <c r="P120" i="29"/>
  <c r="Q106" i="29"/>
  <c r="P106" i="29"/>
  <c r="O106" i="29"/>
  <c r="N106" i="29"/>
  <c r="M106" i="29"/>
  <c r="L106" i="29"/>
  <c r="K106" i="29"/>
  <c r="J106" i="29"/>
  <c r="I106" i="29"/>
  <c r="H106" i="29"/>
  <c r="G106" i="29"/>
  <c r="F106" i="29"/>
  <c r="E106" i="29"/>
  <c r="D106" i="29"/>
  <c r="C106" i="29"/>
  <c r="R120" i="29" l="1"/>
  <c r="C122" i="29" a="1"/>
  <c r="C122" i="29" s="1"/>
  <c r="C123" i="29" s="1" a="1"/>
  <c r="C123" i="29" s="1"/>
  <c r="C124" i="29" a="1"/>
  <c r="C124" i="29" s="1"/>
  <c r="C125" i="29" s="1" a="1"/>
  <c r="C125" i="29" s="1"/>
  <c r="R106" i="29"/>
  <c r="D122" i="29" a="1"/>
  <c r="D122" i="29" s="1"/>
  <c r="D123" i="29" s="1" a="1"/>
  <c r="D123" i="29" s="1"/>
  <c r="G122" i="29" a="1"/>
  <c r="G122" i="29" s="1"/>
  <c r="G123" i="29" s="1" a="1"/>
  <c r="G123" i="29" s="1"/>
  <c r="A106" i="29"/>
  <c r="Q122" i="29" a="1"/>
  <c r="Q122" i="29" s="1"/>
  <c r="Q123" i="29" s="1" a="1"/>
  <c r="Q123" i="29" s="1"/>
  <c r="O122" i="29" a="1"/>
  <c r="O122" i="29" s="1"/>
  <c r="O123" i="29" s="1" a="1"/>
  <c r="O123" i="29" s="1"/>
  <c r="L122" i="29" a="1"/>
  <c r="L122" i="29" s="1"/>
  <c r="L123" i="29" s="1" a="1"/>
  <c r="L123" i="29" s="1"/>
  <c r="M122" i="29" a="1"/>
  <c r="M122" i="29" s="1"/>
  <c r="M123" i="29" s="1" a="1"/>
  <c r="M123" i="29" s="1"/>
  <c r="J122" i="29" a="1"/>
  <c r="J122" i="29" s="1"/>
  <c r="J123" i="29" s="1" a="1"/>
  <c r="J123" i="29" s="1"/>
  <c r="E122" i="29" a="1"/>
  <c r="E122" i="29" s="1"/>
  <c r="E123" i="29" s="1" a="1"/>
  <c r="E123" i="29" s="1"/>
  <c r="P124" i="29" a="1"/>
  <c r="P124" i="29" s="1"/>
  <c r="P125" i="29" s="1" a="1"/>
  <c r="P125" i="29" s="1"/>
  <c r="N124" i="29" a="1"/>
  <c r="N124" i="29" s="1"/>
  <c r="N125" i="29" s="1" a="1"/>
  <c r="N125" i="29" s="1"/>
  <c r="L124" i="29" a="1"/>
  <c r="L124" i="29" s="1"/>
  <c r="L125" i="29" s="1" a="1"/>
  <c r="L125" i="29" s="1"/>
  <c r="J124" i="29" a="1"/>
  <c r="J124" i="29" s="1"/>
  <c r="J125" i="29" s="1" a="1"/>
  <c r="J125" i="29" s="1"/>
  <c r="H124" i="29" a="1"/>
  <c r="H124" i="29" s="1"/>
  <c r="H125" i="29" s="1" a="1"/>
  <c r="H125" i="29" s="1"/>
  <c r="F124" i="29" a="1"/>
  <c r="F124" i="29" s="1"/>
  <c r="F125" i="29" s="1" a="1"/>
  <c r="F125" i="29" s="1"/>
  <c r="D124" i="29" a="1"/>
  <c r="D124" i="29" s="1"/>
  <c r="D125" i="29" s="1" a="1"/>
  <c r="D125" i="29" s="1"/>
  <c r="N122" i="29" a="1"/>
  <c r="N122" i="29" s="1"/>
  <c r="N123" i="29" s="1" a="1"/>
  <c r="N123" i="29" s="1"/>
  <c r="I122" i="29" a="1"/>
  <c r="I122" i="29" s="1"/>
  <c r="I123" i="29" s="1" a="1"/>
  <c r="I123" i="29" s="1"/>
  <c r="F122" i="29" a="1"/>
  <c r="F122" i="29" s="1"/>
  <c r="F123" i="29" s="1" a="1"/>
  <c r="F123" i="29" s="1"/>
  <c r="Q124" i="29" a="1"/>
  <c r="Q124" i="29" s="1"/>
  <c r="Q125" i="29" s="1" a="1"/>
  <c r="Q125" i="29" s="1"/>
  <c r="O124" i="29" a="1"/>
  <c r="O124" i="29" s="1"/>
  <c r="O125" i="29" s="1" a="1"/>
  <c r="O125" i="29" s="1"/>
  <c r="M124" i="29" a="1"/>
  <c r="M124" i="29" s="1"/>
  <c r="M125" i="29" s="1" a="1"/>
  <c r="M125" i="29" s="1"/>
  <c r="K124" i="29" a="1"/>
  <c r="K124" i="29" s="1"/>
  <c r="K125" i="29" s="1" a="1"/>
  <c r="K125" i="29" s="1"/>
  <c r="I124" i="29" a="1"/>
  <c r="I124" i="29" s="1"/>
  <c r="I125" i="29" s="1" a="1"/>
  <c r="I125" i="29" s="1"/>
  <c r="G124" i="29" a="1"/>
  <c r="G124" i="29" s="1"/>
  <c r="G125" i="29" s="1" a="1"/>
  <c r="G125" i="29" s="1"/>
  <c r="E124" i="29" a="1"/>
  <c r="E124" i="29" s="1"/>
  <c r="E125" i="29" s="1" a="1"/>
  <c r="E125" i="29" s="1"/>
  <c r="P122" i="29" a="1"/>
  <c r="P122" i="29" s="1"/>
  <c r="P123" i="29" s="1" a="1"/>
  <c r="P123" i="29" s="1"/>
  <c r="K122" i="29" a="1"/>
  <c r="K122" i="29" s="1"/>
  <c r="K123" i="29" s="1" a="1"/>
  <c r="K123" i="29" s="1"/>
  <c r="H122" i="29" a="1"/>
  <c r="H122" i="29" s="1"/>
  <c r="H123" i="29" s="1" a="1"/>
  <c r="H123" i="29" s="1"/>
  <c r="O58" i="30" l="1"/>
  <c r="P76" i="27" l="1"/>
  <c r="P78" i="27"/>
  <c r="P69" i="27"/>
  <c r="P70" i="27"/>
  <c r="P71" i="27"/>
  <c r="P73" i="27"/>
  <c r="P66" i="27"/>
  <c r="P67" i="27"/>
  <c r="P45" i="27"/>
  <c r="P46" i="27"/>
  <c r="P48" i="27"/>
  <c r="P49" i="27"/>
  <c r="P50" i="27"/>
  <c r="P51" i="27"/>
  <c r="P52" i="27"/>
  <c r="P53" i="27"/>
  <c r="P54" i="27"/>
  <c r="P55" i="27"/>
  <c r="P56" i="27"/>
  <c r="P57" i="27"/>
  <c r="P58" i="27"/>
  <c r="P59" i="27"/>
  <c r="P60" i="27"/>
  <c r="P61" i="27"/>
  <c r="P62" i="27"/>
  <c r="P40" i="27"/>
  <c r="P41" i="27"/>
  <c r="P42" i="27"/>
  <c r="P43" i="27"/>
  <c r="P28" i="27"/>
  <c r="P29" i="27"/>
  <c r="P32" i="27"/>
  <c r="P34" i="27"/>
  <c r="P35" i="27"/>
  <c r="P36" i="27"/>
  <c r="P37" i="27"/>
  <c r="P4" i="27"/>
  <c r="P5" i="27"/>
  <c r="P6" i="27"/>
  <c r="P7" i="27"/>
  <c r="P8" i="27"/>
  <c r="P10" i="27"/>
  <c r="P11" i="27"/>
  <c r="P12" i="27"/>
  <c r="P13" i="27"/>
  <c r="P14" i="27"/>
  <c r="P15" i="27"/>
  <c r="P17" i="27"/>
  <c r="P18" i="27"/>
  <c r="P19" i="27"/>
  <c r="P21" i="27"/>
  <c r="P22" i="27"/>
  <c r="P23" i="27"/>
  <c r="P25" i="27"/>
  <c r="P26" i="27"/>
  <c r="J105" i="15"/>
  <c r="F105" i="15"/>
  <c r="C27" i="20"/>
  <c r="R105" i="29"/>
  <c r="N8" i="25"/>
  <c r="M11" i="25"/>
  <c r="L11" i="25"/>
  <c r="M8" i="25"/>
  <c r="F104" i="15"/>
  <c r="J104" i="15"/>
  <c r="R104" i="29"/>
  <c r="P22" i="24"/>
  <c r="J103" i="15"/>
  <c r="F103" i="15"/>
  <c r="C37" i="32"/>
  <c r="F37" i="32"/>
  <c r="G37" i="32"/>
  <c r="E37" i="32"/>
  <c r="R103" i="29"/>
  <c r="E15" i="33"/>
  <c r="O7" i="24"/>
  <c r="O5" i="24"/>
  <c r="L18" i="26"/>
  <c r="M18" i="26"/>
  <c r="N18" i="26"/>
  <c r="O18" i="26"/>
  <c r="P18" i="26"/>
  <c r="Q18" i="26"/>
  <c r="J102" i="15"/>
  <c r="F102" i="15"/>
  <c r="R102" i="29"/>
  <c r="C11" i="11"/>
  <c r="R101" i="29"/>
  <c r="J101" i="15"/>
  <c r="F101" i="15"/>
  <c r="J100" i="15"/>
  <c r="F100" i="15"/>
  <c r="R100" i="29"/>
  <c r="I11" i="25"/>
  <c r="A65" i="26"/>
  <c r="J99" i="15"/>
  <c r="F99" i="15"/>
  <c r="R99" i="29"/>
  <c r="J98" i="15"/>
  <c r="F98" i="15"/>
  <c r="R98" i="29"/>
  <c r="R97" i="29"/>
  <c r="J97" i="15"/>
  <c r="F97" i="15"/>
  <c r="B27" i="20"/>
  <c r="J96" i="15"/>
  <c r="F96" i="15"/>
  <c r="R96" i="29"/>
  <c r="J95" i="15"/>
  <c r="F95" i="15"/>
  <c r="R95" i="29"/>
  <c r="D15" i="32"/>
  <c r="E15" i="32"/>
  <c r="C15" i="32"/>
  <c r="B3" i="32"/>
  <c r="J94" i="15"/>
  <c r="F94" i="15"/>
  <c r="D120" i="15"/>
  <c r="H120" i="15"/>
  <c r="A94" i="15"/>
  <c r="A95" i="15"/>
  <c r="A96" i="15"/>
  <c r="A97" i="15"/>
  <c r="A98" i="15"/>
  <c r="A99" i="15"/>
  <c r="A100" i="15"/>
  <c r="A101" i="15"/>
  <c r="A102" i="15"/>
  <c r="A103" i="15"/>
  <c r="A104" i="15"/>
  <c r="A105" i="15"/>
  <c r="A119" i="15"/>
  <c r="I93" i="15"/>
  <c r="H93" i="15"/>
  <c r="G93" i="15"/>
  <c r="E93" i="15"/>
  <c r="C93" i="15"/>
  <c r="A93" i="15" s="1"/>
  <c r="A90" i="26"/>
  <c r="A91" i="26"/>
  <c r="A92" i="26"/>
  <c r="A93" i="26"/>
  <c r="A94" i="26"/>
  <c r="A95" i="26"/>
  <c r="A96" i="26"/>
  <c r="A97" i="26"/>
  <c r="A98" i="26"/>
  <c r="A99" i="26"/>
  <c r="A100" i="26"/>
  <c r="A101" i="26"/>
  <c r="A75" i="26"/>
  <c r="A76" i="26"/>
  <c r="A77" i="26"/>
  <c r="A78" i="26"/>
  <c r="A79" i="26"/>
  <c r="A80" i="26"/>
  <c r="A81" i="26"/>
  <c r="A82" i="26"/>
  <c r="A83" i="26"/>
  <c r="A84" i="26"/>
  <c r="A85" i="26"/>
  <c r="A86" i="26"/>
  <c r="A61" i="26"/>
  <c r="A62" i="26"/>
  <c r="A63" i="26"/>
  <c r="A64" i="26"/>
  <c r="A66" i="26"/>
  <c r="A67" i="26"/>
  <c r="A68" i="26"/>
  <c r="A69" i="26"/>
  <c r="A70" i="26"/>
  <c r="A71" i="26"/>
  <c r="A72" i="26"/>
  <c r="A47" i="26"/>
  <c r="A48" i="26"/>
  <c r="A49" i="26"/>
  <c r="A50" i="26"/>
  <c r="A51" i="26"/>
  <c r="A52" i="26"/>
  <c r="A53" i="26"/>
  <c r="A54" i="26"/>
  <c r="A55" i="26"/>
  <c r="A56" i="26"/>
  <c r="A57" i="26"/>
  <c r="A58" i="26"/>
  <c r="A33" i="26"/>
  <c r="A34" i="26"/>
  <c r="A35" i="26"/>
  <c r="A36" i="26"/>
  <c r="A37" i="26"/>
  <c r="A38" i="26"/>
  <c r="A39" i="26"/>
  <c r="A40" i="26"/>
  <c r="A41" i="26"/>
  <c r="A42" i="26"/>
  <c r="A43" i="26"/>
  <c r="A44" i="26"/>
  <c r="A89" i="26"/>
  <c r="A74" i="26"/>
  <c r="A60" i="26"/>
  <c r="A46" i="26"/>
  <c r="A32" i="26"/>
  <c r="A19" i="26"/>
  <c r="A20" i="26"/>
  <c r="A21" i="26"/>
  <c r="A22" i="26"/>
  <c r="A23" i="26"/>
  <c r="A24" i="26"/>
  <c r="A25" i="26"/>
  <c r="A26" i="26"/>
  <c r="A27" i="26"/>
  <c r="A28" i="26"/>
  <c r="A29" i="26"/>
  <c r="A30" i="26"/>
  <c r="A18" i="26"/>
  <c r="E18" i="26"/>
  <c r="R94" i="29"/>
  <c r="K93" i="29"/>
  <c r="A94" i="29"/>
  <c r="A95" i="29"/>
  <c r="A96" i="29"/>
  <c r="A97" i="29"/>
  <c r="A98" i="29"/>
  <c r="A99" i="29"/>
  <c r="A100" i="29"/>
  <c r="A101" i="29"/>
  <c r="A102" i="29"/>
  <c r="A103" i="29"/>
  <c r="A104" i="29"/>
  <c r="A105" i="29"/>
  <c r="Q93" i="29"/>
  <c r="P93" i="29"/>
  <c r="O93" i="29"/>
  <c r="N93" i="29"/>
  <c r="M93" i="29"/>
  <c r="L93" i="29"/>
  <c r="H93" i="29"/>
  <c r="G93" i="29"/>
  <c r="F93" i="29"/>
  <c r="E93" i="29"/>
  <c r="D93" i="29"/>
  <c r="C93" i="29"/>
  <c r="J92" i="15"/>
  <c r="F92" i="15"/>
  <c r="R92" i="29"/>
  <c r="N11" i="25"/>
  <c r="J91" i="15"/>
  <c r="F91" i="15"/>
  <c r="R91" i="29"/>
  <c r="O9" i="24"/>
  <c r="O10" i="24"/>
  <c r="O11" i="24"/>
  <c r="P11" i="24"/>
  <c r="C12" i="24"/>
  <c r="O12" i="24" s="1"/>
  <c r="O6" i="24"/>
  <c r="J90" i="15"/>
  <c r="F90" i="15"/>
  <c r="R90" i="29"/>
  <c r="R89" i="29"/>
  <c r="H80" i="15"/>
  <c r="K11" i="25"/>
  <c r="J89" i="15"/>
  <c r="F89" i="15"/>
  <c r="R88" i="29"/>
  <c r="J88" i="15"/>
  <c r="F88" i="15"/>
  <c r="J11" i="25"/>
  <c r="J87" i="15"/>
  <c r="F87" i="15"/>
  <c r="R87" i="29"/>
  <c r="F84" i="15"/>
  <c r="B15" i="21"/>
  <c r="B17" i="21" s="1"/>
  <c r="I86" i="29"/>
  <c r="J86" i="29"/>
  <c r="J86" i="15"/>
  <c r="F86" i="15"/>
  <c r="A92" i="29"/>
  <c r="A91" i="29"/>
  <c r="A90" i="29"/>
  <c r="A89" i="29"/>
  <c r="A88" i="29"/>
  <c r="A87" i="29"/>
  <c r="A86" i="29"/>
  <c r="R85" i="29"/>
  <c r="A85" i="29"/>
  <c r="R84" i="29"/>
  <c r="A84" i="29"/>
  <c r="R83" i="29"/>
  <c r="A83" i="29"/>
  <c r="R82" i="29"/>
  <c r="A82" i="29"/>
  <c r="R81" i="29"/>
  <c r="A81" i="29"/>
  <c r="Q80" i="29"/>
  <c r="P80" i="29"/>
  <c r="O80" i="29"/>
  <c r="N80" i="29"/>
  <c r="M80" i="29"/>
  <c r="L80" i="29"/>
  <c r="K80" i="29"/>
  <c r="J80" i="29"/>
  <c r="I80" i="29"/>
  <c r="H80" i="29"/>
  <c r="G80" i="29"/>
  <c r="F80" i="29"/>
  <c r="E80" i="29"/>
  <c r="D80" i="29"/>
  <c r="C80" i="29"/>
  <c r="A80" i="29" s="1"/>
  <c r="R79" i="29"/>
  <c r="A79" i="29"/>
  <c r="R78" i="29"/>
  <c r="A78" i="29"/>
  <c r="R77" i="29"/>
  <c r="A77" i="29"/>
  <c r="R76" i="29"/>
  <c r="A76" i="29"/>
  <c r="R75" i="29"/>
  <c r="A75" i="29"/>
  <c r="R74" i="29"/>
  <c r="A74" i="29"/>
  <c r="R73" i="29"/>
  <c r="A73" i="29"/>
  <c r="R72" i="29"/>
  <c r="A72" i="29"/>
  <c r="R71" i="29"/>
  <c r="A71" i="29"/>
  <c r="R70" i="29"/>
  <c r="A70" i="29"/>
  <c r="R69" i="29"/>
  <c r="A69" i="29"/>
  <c r="R68" i="29"/>
  <c r="A68" i="29"/>
  <c r="Q67" i="29"/>
  <c r="P67" i="29"/>
  <c r="O67" i="29"/>
  <c r="N67" i="29"/>
  <c r="M67" i="29"/>
  <c r="L67" i="29"/>
  <c r="K67" i="29"/>
  <c r="J67" i="29"/>
  <c r="I67" i="29"/>
  <c r="H67" i="29"/>
  <c r="G67" i="29"/>
  <c r="F67" i="29"/>
  <c r="E67" i="29"/>
  <c r="D67" i="29"/>
  <c r="C67" i="29"/>
  <c r="A67" i="29" s="1"/>
  <c r="R66" i="29"/>
  <c r="A66" i="29"/>
  <c r="R65" i="29"/>
  <c r="A65" i="29"/>
  <c r="R64" i="29"/>
  <c r="A64" i="29"/>
  <c r="R63" i="29"/>
  <c r="A63" i="29"/>
  <c r="R62" i="29"/>
  <c r="A62" i="29"/>
  <c r="R61" i="29"/>
  <c r="A61" i="29"/>
  <c r="R60" i="29"/>
  <c r="A60" i="29"/>
  <c r="R59" i="29"/>
  <c r="A59" i="29"/>
  <c r="R58" i="29"/>
  <c r="A58" i="29"/>
  <c r="R57" i="29"/>
  <c r="A57" i="29"/>
  <c r="R56" i="29"/>
  <c r="A56" i="29"/>
  <c r="R55" i="29"/>
  <c r="A55" i="29"/>
  <c r="Q54" i="29"/>
  <c r="P54" i="29"/>
  <c r="O54" i="29"/>
  <c r="N54" i="29"/>
  <c r="M54" i="29"/>
  <c r="L54" i="29"/>
  <c r="K54" i="29"/>
  <c r="J54" i="29"/>
  <c r="I54" i="29"/>
  <c r="H54" i="29"/>
  <c r="G54" i="29"/>
  <c r="F54" i="29"/>
  <c r="E54" i="29"/>
  <c r="D54" i="29"/>
  <c r="C54" i="29"/>
  <c r="A54" i="29" s="1"/>
  <c r="R53" i="29"/>
  <c r="A53" i="29"/>
  <c r="R52" i="29"/>
  <c r="A52" i="29"/>
  <c r="R51" i="29"/>
  <c r="A51" i="29"/>
  <c r="R50" i="29"/>
  <c r="A50" i="29"/>
  <c r="R49" i="29"/>
  <c r="A49" i="29"/>
  <c r="R48" i="29"/>
  <c r="A48" i="29"/>
  <c r="R47" i="29"/>
  <c r="A47" i="29"/>
  <c r="R46" i="29"/>
  <c r="A46" i="29"/>
  <c r="R45" i="29"/>
  <c r="A45" i="29"/>
  <c r="R44" i="29"/>
  <c r="A44" i="29"/>
  <c r="R43" i="29"/>
  <c r="A43" i="29"/>
  <c r="R42" i="29"/>
  <c r="A42" i="29"/>
  <c r="Q41" i="29"/>
  <c r="P41" i="29"/>
  <c r="O41" i="29"/>
  <c r="N41" i="29"/>
  <c r="M41" i="29"/>
  <c r="L41" i="29"/>
  <c r="K41" i="29"/>
  <c r="J41" i="29"/>
  <c r="I41" i="29"/>
  <c r="H41" i="29"/>
  <c r="G41" i="29"/>
  <c r="F41" i="29"/>
  <c r="E41" i="29"/>
  <c r="D41" i="29"/>
  <c r="C41" i="29"/>
  <c r="R40" i="29"/>
  <c r="R39" i="29"/>
  <c r="R38" i="29"/>
  <c r="R37" i="29"/>
  <c r="R36" i="29"/>
  <c r="R35" i="29"/>
  <c r="R34" i="29"/>
  <c r="R33" i="29"/>
  <c r="R32" i="29"/>
  <c r="R31" i="29"/>
  <c r="R30" i="29"/>
  <c r="R29" i="29"/>
  <c r="P28" i="29"/>
  <c r="M28" i="29"/>
  <c r="J28" i="29"/>
  <c r="H28" i="29"/>
  <c r="G28" i="29"/>
  <c r="E28" i="29"/>
  <c r="D28" i="29"/>
  <c r="C28" i="29"/>
  <c r="R27" i="29"/>
  <c r="R26" i="29"/>
  <c r="R25" i="29"/>
  <c r="R24" i="29"/>
  <c r="R23" i="29"/>
  <c r="R22" i="29"/>
  <c r="R21" i="29"/>
  <c r="R20" i="29"/>
  <c r="R19" i="29"/>
  <c r="Q18" i="29"/>
  <c r="N18" i="29"/>
  <c r="K18" i="29"/>
  <c r="Q17" i="29"/>
  <c r="N17" i="29"/>
  <c r="K17" i="29"/>
  <c r="R16" i="29"/>
  <c r="Q15" i="29"/>
  <c r="P15" i="29"/>
  <c r="N15" i="29"/>
  <c r="M15" i="29"/>
  <c r="K15" i="29"/>
  <c r="J15" i="29"/>
  <c r="H15" i="29"/>
  <c r="G15" i="29"/>
  <c r="E15" i="29"/>
  <c r="D15" i="29"/>
  <c r="C15" i="29"/>
  <c r="R14" i="29"/>
  <c r="R13" i="29"/>
  <c r="R12" i="29"/>
  <c r="R11" i="29"/>
  <c r="R10" i="29"/>
  <c r="R9" i="29"/>
  <c r="R8" i="29"/>
  <c r="R7" i="29"/>
  <c r="R6" i="29"/>
  <c r="R5" i="29"/>
  <c r="R4" i="29"/>
  <c r="R3" i="29"/>
  <c r="K28" i="29"/>
  <c r="H11" i="25"/>
  <c r="J85" i="15"/>
  <c r="F85" i="15"/>
  <c r="Q69" i="28"/>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N109" i="28" s="1"/>
  <c r="N112" i="28" s="1"/>
  <c r="N114" i="28" s="1"/>
  <c r="M105" i="28"/>
  <c r="L105" i="28"/>
  <c r="K105" i="28"/>
  <c r="J105" i="28"/>
  <c r="J109" i="28" s="1"/>
  <c r="J112" i="28" s="1"/>
  <c r="J114" i="28" s="1"/>
  <c r="I105" i="28"/>
  <c r="H105" i="28"/>
  <c r="G105" i="28"/>
  <c r="F105" i="28"/>
  <c r="F109" i="28" s="1"/>
  <c r="F112" i="28" s="1"/>
  <c r="F114" i="28" s="1"/>
  <c r="E105" i="28"/>
  <c r="P104" i="28"/>
  <c r="P109" i="28" s="1"/>
  <c r="P112" i="28"/>
  <c r="P114" i="28" s="1"/>
  <c r="O104" i="28"/>
  <c r="N104" i="28"/>
  <c r="M104" i="28"/>
  <c r="L104" i="28"/>
  <c r="L109" i="28" s="1"/>
  <c r="L112" i="28" s="1"/>
  <c r="L114" i="28" s="1"/>
  <c r="K104" i="28"/>
  <c r="K109" i="28" s="1"/>
  <c r="K112" i="28" s="1"/>
  <c r="K114" i="28" s="1"/>
  <c r="J104" i="28"/>
  <c r="I104" i="28"/>
  <c r="H104" i="28"/>
  <c r="H109" i="28" s="1"/>
  <c r="H112" i="28" s="1"/>
  <c r="H114" i="28" s="1"/>
  <c r="G104" i="28"/>
  <c r="F104" i="28"/>
  <c r="E104" i="28"/>
  <c r="E109" i="28" s="1"/>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I98" i="28"/>
  <c r="I101" i="28" s="1"/>
  <c r="I103" i="28" s="1"/>
  <c r="H98" i="28"/>
  <c r="H101" i="28" s="1"/>
  <c r="H103" i="28" s="1"/>
  <c r="G98" i="28"/>
  <c r="G101" i="28" s="1"/>
  <c r="G103" i="28" s="1"/>
  <c r="F98" i="28"/>
  <c r="F101" i="28" s="1"/>
  <c r="F103" i="28" s="1"/>
  <c r="E98" i="28"/>
  <c r="E101" i="28" s="1"/>
  <c r="E103" i="28" s="1"/>
  <c r="Q97" i="28"/>
  <c r="Q96" i="28"/>
  <c r="Q95" i="28"/>
  <c r="Q94" i="28"/>
  <c r="Q93" i="28"/>
  <c r="Q91" i="28"/>
  <c r="Q89" i="28"/>
  <c r="Q88" i="28"/>
  <c r="P87" i="28"/>
  <c r="P90" i="28"/>
  <c r="P92" i="28" s="1"/>
  <c r="O87" i="28"/>
  <c r="O90" i="28" s="1"/>
  <c r="O92" i="28" s="1"/>
  <c r="N87" i="28"/>
  <c r="N90" i="28" s="1"/>
  <c r="N92" i="28" s="1"/>
  <c r="M87" i="28"/>
  <c r="M90" i="28" s="1"/>
  <c r="M92" i="28" s="1"/>
  <c r="L87" i="28"/>
  <c r="L90" i="28" s="1"/>
  <c r="L92" i="28" s="1"/>
  <c r="K87" i="28"/>
  <c r="K90" i="28" s="1"/>
  <c r="K92" i="28" s="1"/>
  <c r="J87" i="28"/>
  <c r="J90" i="28"/>
  <c r="J92" i="28" s="1"/>
  <c r="I87" i="28"/>
  <c r="I90" i="28" s="1"/>
  <c r="I92" i="28" s="1"/>
  <c r="H87" i="28"/>
  <c r="H90" i="28"/>
  <c r="H92" i="28" s="1"/>
  <c r="G87" i="28"/>
  <c r="G90" i="28" s="1"/>
  <c r="G92" i="28" s="1"/>
  <c r="F87" i="28"/>
  <c r="F90" i="28" s="1"/>
  <c r="F92" i="28" s="1"/>
  <c r="E87" i="28"/>
  <c r="E90" i="28" s="1"/>
  <c r="Q86" i="28"/>
  <c r="Q85" i="28"/>
  <c r="Q84" i="28"/>
  <c r="Q83" i="28"/>
  <c r="Q82" i="28"/>
  <c r="Q58" i="28"/>
  <c r="Q47" i="28"/>
  <c r="Q30" i="28"/>
  <c r="Q19" i="28"/>
  <c r="Q8" i="28"/>
  <c r="Q106" i="28"/>
  <c r="J84" i="15"/>
  <c r="J83" i="15"/>
  <c r="F83" i="15"/>
  <c r="E11" i="25"/>
  <c r="F82" i="15"/>
  <c r="J82" i="15"/>
  <c r="D11" i="25"/>
  <c r="J81" i="15"/>
  <c r="F81" i="15"/>
  <c r="A81" i="15"/>
  <c r="A79" i="15"/>
  <c r="A82" i="15"/>
  <c r="A83" i="15"/>
  <c r="A84" i="15"/>
  <c r="A85" i="15"/>
  <c r="A86" i="15"/>
  <c r="A87" i="15"/>
  <c r="A88" i="15"/>
  <c r="A89" i="15"/>
  <c r="A90" i="15"/>
  <c r="A91" i="15"/>
  <c r="A92" i="15"/>
  <c r="J79" i="15"/>
  <c r="F79" i="15"/>
  <c r="J78" i="15"/>
  <c r="F78" i="15"/>
  <c r="J77" i="15"/>
  <c r="F77" i="15"/>
  <c r="J76" i="15"/>
  <c r="F76" i="15"/>
  <c r="J75" i="15"/>
  <c r="F75" i="15"/>
  <c r="C15" i="21"/>
  <c r="F73" i="15"/>
  <c r="A75" i="15"/>
  <c r="A76" i="15"/>
  <c r="A77" i="15"/>
  <c r="A78" i="15"/>
  <c r="A72" i="15"/>
  <c r="J71" i="15"/>
  <c r="J69" i="15"/>
  <c r="J70" i="15"/>
  <c r="A69" i="15"/>
  <c r="A70" i="15"/>
  <c r="F70" i="15"/>
  <c r="C11" i="25"/>
  <c r="O9" i="25"/>
  <c r="A66" i="15"/>
  <c r="J65" i="15"/>
  <c r="A64" i="15"/>
  <c r="J63" i="15"/>
  <c r="J62" i="15"/>
  <c r="F62" i="15"/>
  <c r="J59" i="15"/>
  <c r="J60" i="15"/>
  <c r="J58" i="15"/>
  <c r="F58" i="15"/>
  <c r="A57" i="15"/>
  <c r="F57" i="15"/>
  <c r="J57" i="15"/>
  <c r="F55" i="15"/>
  <c r="F53" i="15"/>
  <c r="J53" i="15"/>
  <c r="J52" i="15"/>
  <c r="A52" i="15"/>
  <c r="J50" i="15"/>
  <c r="J51" i="15"/>
  <c r="A50" i="15"/>
  <c r="F50" i="15"/>
  <c r="F51" i="15"/>
  <c r="A49" i="15"/>
  <c r="J49" i="15"/>
  <c r="A48" i="15"/>
  <c r="J48" i="15"/>
  <c r="J47" i="15"/>
  <c r="F46" i="15"/>
  <c r="A46" i="15"/>
  <c r="A45" i="15"/>
  <c r="F45" i="15"/>
  <c r="J45" i="15"/>
  <c r="A44" i="15"/>
  <c r="F43" i="15"/>
  <c r="F42" i="15"/>
  <c r="A42" i="15"/>
  <c r="F40" i="15"/>
  <c r="J39" i="15"/>
  <c r="J38" i="15"/>
  <c r="F37" i="15"/>
  <c r="J36" i="15"/>
  <c r="F36" i="15"/>
  <c r="F35" i="15"/>
  <c r="J32" i="15"/>
  <c r="J31" i="15"/>
  <c r="J29" i="15"/>
  <c r="J27" i="15"/>
  <c r="J26" i="15"/>
  <c r="J25" i="15"/>
  <c r="J24" i="15"/>
  <c r="J23" i="15"/>
  <c r="J22" i="15"/>
  <c r="J20" i="15"/>
  <c r="J19" i="15"/>
  <c r="J18" i="15"/>
  <c r="J17" i="15"/>
  <c r="J16" i="15"/>
  <c r="J14" i="15"/>
  <c r="J13" i="15"/>
  <c r="J12" i="15"/>
  <c r="J11" i="15"/>
  <c r="J10" i="15"/>
  <c r="J9" i="15"/>
  <c r="J8" i="15"/>
  <c r="J7" i="15"/>
  <c r="J6" i="15"/>
  <c r="J5" i="15"/>
  <c r="J4" i="15"/>
  <c r="J3" i="15"/>
  <c r="F34" i="15"/>
  <c r="F33" i="15"/>
  <c r="F32" i="15"/>
  <c r="F29" i="15"/>
  <c r="F27" i="15"/>
  <c r="F26" i="15"/>
  <c r="F24" i="15"/>
  <c r="F23" i="15"/>
  <c r="F22" i="15"/>
  <c r="F21" i="15"/>
  <c r="F20" i="15"/>
  <c r="F19" i="15"/>
  <c r="F18" i="15"/>
  <c r="F16" i="15"/>
  <c r="F14" i="15"/>
  <c r="F12" i="15"/>
  <c r="F10" i="15"/>
  <c r="F9" i="15"/>
  <c r="F8" i="15"/>
  <c r="F6" i="15"/>
  <c r="AT30" i="15"/>
  <c r="AR31" i="15"/>
  <c r="AR32" i="15" s="1"/>
  <c r="AR33" i="15" s="1"/>
  <c r="AP31" i="15"/>
  <c r="AP32" i="15" s="1"/>
  <c r="AP33" i="15" s="1"/>
  <c r="B2" i="23"/>
  <c r="B3" i="23"/>
  <c r="B4" i="23"/>
  <c r="B5" i="23"/>
  <c r="B6" i="23"/>
  <c r="B7" i="23"/>
  <c r="B8" i="23"/>
  <c r="B9" i="23"/>
  <c r="B10" i="23"/>
  <c r="B11" i="23"/>
  <c r="B12" i="23"/>
  <c r="B13" i="23"/>
  <c r="B21" i="23"/>
  <c r="C12" i="23"/>
  <c r="C5" i="23"/>
  <c r="C4" i="23"/>
  <c r="C9" i="23"/>
  <c r="C8" i="23"/>
  <c r="C3" i="23"/>
  <c r="C6" i="23"/>
  <c r="C7" i="23"/>
  <c r="C11" i="23"/>
  <c r="C13" i="23"/>
  <c r="C2" i="23"/>
  <c r="C10" i="23"/>
  <c r="B14" i="23"/>
  <c r="B19" i="23"/>
  <c r="A59" i="15"/>
  <c r="A58" i="15"/>
  <c r="A68" i="15"/>
  <c r="C80" i="15"/>
  <c r="A80" i="15" s="1"/>
  <c r="G80" i="15"/>
  <c r="C15" i="15"/>
  <c r="C28" i="15"/>
  <c r="C41" i="15"/>
  <c r="G15" i="15"/>
  <c r="G28" i="15"/>
  <c r="G41" i="15"/>
  <c r="G54" i="15"/>
  <c r="A65" i="15"/>
  <c r="F65" i="15"/>
  <c r="A43" i="15"/>
  <c r="C54" i="15"/>
  <c r="A54" i="15" s="1"/>
  <c r="A53" i="15"/>
  <c r="A47" i="15"/>
  <c r="A51" i="15"/>
  <c r="B20" i="23"/>
  <c r="B17" i="23"/>
  <c r="B18" i="23"/>
  <c r="B16" i="23"/>
  <c r="B15" i="23"/>
  <c r="A73" i="15"/>
  <c r="A62" i="15"/>
  <c r="F63" i="15"/>
  <c r="A63" i="15"/>
  <c r="A55" i="15"/>
  <c r="F61" i="15"/>
  <c r="A61" i="15"/>
  <c r="A56" i="15"/>
  <c r="C67" i="15"/>
  <c r="A67" i="15" s="1"/>
  <c r="J66" i="15"/>
  <c r="A60" i="15"/>
  <c r="G67" i="15"/>
  <c r="J64" i="15"/>
  <c r="F66" i="15"/>
  <c r="J61" i="15"/>
  <c r="F64" i="15"/>
  <c r="A74" i="15"/>
  <c r="A71" i="15"/>
  <c r="H15" i="32"/>
  <c r="E29" i="24" l="1"/>
  <c r="H29" i="24"/>
  <c r="D29" i="24"/>
  <c r="O4" i="26"/>
  <c r="N4" i="26"/>
  <c r="E4" i="26"/>
  <c r="Q4" i="26"/>
  <c r="M4" i="26"/>
  <c r="P4" i="26"/>
  <c r="L4" i="26"/>
  <c r="G29" i="24"/>
  <c r="O109" i="28"/>
  <c r="O112" i="28" s="1"/>
  <c r="O114" i="28" s="1"/>
  <c r="G109" i="28"/>
  <c r="G112" i="28" s="1"/>
  <c r="G114" i="28" s="1"/>
  <c r="Q111" i="28"/>
  <c r="J48" i="28"/>
  <c r="J51" i="28" s="1"/>
  <c r="P48" i="28"/>
  <c r="P51" i="28" s="1"/>
  <c r="Q71" i="28"/>
  <c r="L70" i="28"/>
  <c r="L73" i="28" s="1"/>
  <c r="G48" i="28"/>
  <c r="G51" i="28" s="1"/>
  <c r="M109" i="28"/>
  <c r="M112" i="28" s="1"/>
  <c r="M114" i="28" s="1"/>
  <c r="B29" i="20"/>
  <c r="O59" i="28"/>
  <c r="O62" i="28" s="1"/>
  <c r="J103" i="28"/>
  <c r="Q101" i="28"/>
  <c r="Q103" i="28" s="1"/>
  <c r="Q87" i="28"/>
  <c r="Q105" i="28"/>
  <c r="Q107" i="28"/>
  <c r="Q108" i="28"/>
  <c r="Q110" i="28"/>
  <c r="Q113" i="28"/>
  <c r="Q28" i="28"/>
  <c r="Q33" i="28"/>
  <c r="Q63" i="28"/>
  <c r="Q67" i="28"/>
  <c r="Q68" i="28"/>
  <c r="F59" i="28"/>
  <c r="F62" i="28" s="1"/>
  <c r="Q98" i="28"/>
  <c r="Q60" i="28"/>
  <c r="L20" i="28"/>
  <c r="L23" i="28" s="1"/>
  <c r="P20" i="28"/>
  <c r="P23" i="28" s="1"/>
  <c r="R80" i="29"/>
  <c r="E112" i="28"/>
  <c r="E92" i="28"/>
  <c r="Q90" i="28"/>
  <c r="Q92" i="28" s="1"/>
  <c r="J93" i="15"/>
  <c r="Q104" i="28"/>
  <c r="R15" i="29"/>
  <c r="R86" i="29"/>
  <c r="I93" i="29"/>
  <c r="J106" i="15"/>
  <c r="I109" i="28"/>
  <c r="I112" i="28" s="1"/>
  <c r="I114" i="28" s="1"/>
  <c r="Q52" i="28"/>
  <c r="M48" i="28"/>
  <c r="M51" i="28" s="1"/>
  <c r="O48" i="28"/>
  <c r="O51" i="28" s="1"/>
  <c r="F74" i="15"/>
  <c r="P9" i="28"/>
  <c r="P12" i="28" s="1"/>
  <c r="L31" i="28"/>
  <c r="L34" i="28" s="1"/>
  <c r="P31" i="28"/>
  <c r="P34" i="28" s="1"/>
  <c r="Q72" i="28"/>
  <c r="R41" i="29"/>
  <c r="R54" i="29"/>
  <c r="J93" i="29"/>
  <c r="A93" i="29"/>
  <c r="Q6" i="28"/>
  <c r="O9" i="28"/>
  <c r="O12" i="28" s="1"/>
  <c r="Q11" i="28"/>
  <c r="Q13" i="28"/>
  <c r="K20" i="28"/>
  <c r="K23" i="28" s="1"/>
  <c r="O20" i="28"/>
  <c r="O23" i="28" s="1"/>
  <c r="M20" i="28"/>
  <c r="M23" i="28" s="1"/>
  <c r="Q17" i="28"/>
  <c r="Q18" i="28"/>
  <c r="Q22" i="28"/>
  <c r="Q26" i="28"/>
  <c r="O31" i="28"/>
  <c r="O34" i="28" s="1"/>
  <c r="Q43" i="28"/>
  <c r="Q49" i="28"/>
  <c r="Q54" i="28"/>
  <c r="J70" i="28"/>
  <c r="J73" i="28" s="1"/>
  <c r="O70" i="28"/>
  <c r="O73" i="28" s="1"/>
  <c r="G70" i="28"/>
  <c r="G73" i="28" s="1"/>
  <c r="N59" i="28"/>
  <c r="N62" i="28" s="1"/>
  <c r="I59" i="28"/>
  <c r="I62" i="28" s="1"/>
  <c r="L59" i="28"/>
  <c r="L62" i="28" s="1"/>
  <c r="Q50" i="28"/>
  <c r="N48" i="28"/>
  <c r="N51" i="28" s="1"/>
  <c r="L48" i="28"/>
  <c r="L51" i="28" s="1"/>
  <c r="H48" i="28"/>
  <c r="H51" i="28" s="1"/>
  <c r="Q45" i="28"/>
  <c r="J122" i="15" a="1"/>
  <c r="J122" i="15" s="1"/>
  <c r="J123" i="15" s="1" a="1"/>
  <c r="J123" i="15" s="1"/>
  <c r="M31" i="28"/>
  <c r="M34" i="28" s="1"/>
  <c r="E48" i="28"/>
  <c r="E51" i="28" s="1"/>
  <c r="M9" i="28"/>
  <c r="M12" i="28" s="1"/>
  <c r="Q4" i="28"/>
  <c r="Q10" i="28"/>
  <c r="Q16" i="28"/>
  <c r="Q27" i="28"/>
  <c r="Q35" i="28"/>
  <c r="Q61" i="28"/>
  <c r="I70" i="28"/>
  <c r="I73" i="28" s="1"/>
  <c r="H70" i="28"/>
  <c r="H73" i="28" s="1"/>
  <c r="N70" i="28"/>
  <c r="N73" i="28" s="1"/>
  <c r="M59" i="28"/>
  <c r="M62" i="28" s="1"/>
  <c r="P59" i="28"/>
  <c r="P62" i="28" s="1"/>
  <c r="G59" i="28"/>
  <c r="G62" i="28" s="1"/>
  <c r="Q46" i="28"/>
  <c r="K48" i="28"/>
  <c r="K51" i="28" s="1"/>
  <c r="Q29" i="28"/>
  <c r="AU32" i="15"/>
  <c r="J68" i="15"/>
  <c r="K9" i="28"/>
  <c r="K12" i="28" s="1"/>
  <c r="Q5" i="28"/>
  <c r="N9" i="28"/>
  <c r="N12" i="28" s="1"/>
  <c r="Q21" i="28"/>
  <c r="Q24" i="28"/>
  <c r="Q32" i="28"/>
  <c r="Q44" i="28"/>
  <c r="E59" i="28"/>
  <c r="E62" i="28" s="1"/>
  <c r="E70" i="28"/>
  <c r="E73" i="28" s="1"/>
  <c r="Q74" i="28"/>
  <c r="M70" i="28"/>
  <c r="M73" i="28" s="1"/>
  <c r="P70" i="28"/>
  <c r="P73" i="28" s="1"/>
  <c r="K70" i="28"/>
  <c r="K73" i="28" s="1"/>
  <c r="F70" i="28"/>
  <c r="F73" i="28" s="1"/>
  <c r="Q57" i="28"/>
  <c r="H59" i="28"/>
  <c r="H62" i="28" s="1"/>
  <c r="K59" i="28"/>
  <c r="K62" i="28" s="1"/>
  <c r="J59" i="28"/>
  <c r="J62" i="28" s="1"/>
  <c r="I48" i="28"/>
  <c r="I51" i="28" s="1"/>
  <c r="F48" i="28"/>
  <c r="F51" i="28" s="1"/>
  <c r="N31" i="28"/>
  <c r="N34" i="28" s="1"/>
  <c r="J37" i="15"/>
  <c r="Q66" i="28"/>
  <c r="K31" i="28"/>
  <c r="I54" i="15"/>
  <c r="I67" i="15"/>
  <c r="J40" i="15"/>
  <c r="Q7" i="28"/>
  <c r="L9" i="28"/>
  <c r="L12" i="28" s="1"/>
  <c r="Q15" i="28"/>
  <c r="Q65" i="28"/>
  <c r="Q55" i="28"/>
  <c r="Q56" i="28"/>
  <c r="N20" i="28"/>
  <c r="N23" i="28" s="1"/>
  <c r="O23" i="24"/>
  <c r="R67" i="29"/>
  <c r="R18" i="29"/>
  <c r="R17" i="29"/>
  <c r="Q28" i="29"/>
  <c r="N28" i="29"/>
  <c r="R122" i="29" a="1"/>
  <c r="R122" i="29" s="1"/>
  <c r="R123" i="29" s="1" a="1"/>
  <c r="R123" i="29" s="1"/>
  <c r="R124" i="29" a="1"/>
  <c r="R124" i="29" s="1"/>
  <c r="R125" i="29" s="1" a="1"/>
  <c r="R125" i="29" s="1"/>
  <c r="C16" i="23"/>
  <c r="F48" i="15"/>
  <c r="F124" i="15" a="1"/>
  <c r="F124" i="15" s="1"/>
  <c r="F125" i="15" s="1" a="1"/>
  <c r="F125" i="15" s="1"/>
  <c r="J124" i="15" a="1"/>
  <c r="J124" i="15" s="1"/>
  <c r="J125" i="15" s="1" a="1"/>
  <c r="J125" i="15" s="1"/>
  <c r="F122" i="15" a="1"/>
  <c r="F122" i="15" s="1"/>
  <c r="F123" i="15" s="1" a="1"/>
  <c r="F123" i="15" s="1"/>
  <c r="C17" i="23"/>
  <c r="J33" i="15"/>
  <c r="AT31" i="15"/>
  <c r="J35" i="15"/>
  <c r="F49" i="15"/>
  <c r="F60" i="15"/>
  <c r="F93" i="15"/>
  <c r="J55" i="15"/>
  <c r="F39" i="15"/>
  <c r="F11" i="15"/>
  <c r="J34" i="15"/>
  <c r="J42" i="15"/>
  <c r="F7" i="15"/>
  <c r="F17" i="15"/>
  <c r="C15" i="23" s="1"/>
  <c r="J21" i="15"/>
  <c r="J30" i="15"/>
  <c r="F38" i="15"/>
  <c r="F44" i="15"/>
  <c r="F47" i="15"/>
  <c r="F52" i="15"/>
  <c r="F59" i="15"/>
  <c r="E67" i="15"/>
  <c r="J56" i="15"/>
  <c r="J74" i="15"/>
  <c r="F25" i="15"/>
  <c r="C20" i="23"/>
  <c r="E54" i="15"/>
  <c r="AT32" i="15"/>
  <c r="F30" i="15"/>
  <c r="AT33" i="15"/>
  <c r="C18" i="23"/>
  <c r="C14" i="23"/>
  <c r="J73" i="15"/>
  <c r="F68" i="15"/>
  <c r="F72" i="15"/>
  <c r="E80" i="15"/>
  <c r="I80" i="15"/>
  <c r="F71" i="15"/>
  <c r="C21" i="23"/>
  <c r="J72" i="15"/>
  <c r="F69" i="15"/>
  <c r="F56" i="15"/>
  <c r="J43" i="15"/>
  <c r="I28" i="15"/>
  <c r="E15" i="15"/>
  <c r="F5" i="15"/>
  <c r="F13" i="15"/>
  <c r="E28" i="15"/>
  <c r="F28" i="15" s="1"/>
  <c r="F31" i="15"/>
  <c r="E41" i="15"/>
  <c r="I15" i="15"/>
  <c r="I41" i="15"/>
  <c r="J44" i="15"/>
  <c r="J46" i="15"/>
  <c r="P38" i="27"/>
  <c r="P75" i="27"/>
  <c r="P63" i="27"/>
  <c r="P47" i="27"/>
  <c r="P74" i="27"/>
  <c r="P16" i="27"/>
  <c r="P33" i="27"/>
  <c r="P30" i="27"/>
  <c r="P80" i="27"/>
  <c r="P31" i="27"/>
  <c r="P24" i="27"/>
  <c r="P20" i="27"/>
  <c r="P64" i="27"/>
  <c r="P9" i="27"/>
  <c r="P72" i="27"/>
  <c r="P77" i="27"/>
  <c r="P79" i="27"/>
  <c r="D37" i="32"/>
  <c r="I101" i="26"/>
  <c r="P44" i="26"/>
  <c r="D18" i="26"/>
  <c r="L72" i="26"/>
  <c r="L101" i="26"/>
  <c r="O72" i="26"/>
  <c r="L86" i="26"/>
  <c r="J18" i="26"/>
  <c r="I58" i="26"/>
  <c r="J86" i="26"/>
  <c r="M101" i="26"/>
  <c r="H18" i="26"/>
  <c r="E58" i="26"/>
  <c r="M72" i="26"/>
  <c r="P58" i="26"/>
  <c r="L58" i="26"/>
  <c r="H58" i="26"/>
  <c r="N44" i="26"/>
  <c r="O58" i="26"/>
  <c r="K58" i="26"/>
  <c r="G58" i="26"/>
  <c r="C58" i="26"/>
  <c r="M86" i="26"/>
  <c r="D86" i="26"/>
  <c r="K86" i="26"/>
  <c r="O101" i="26"/>
  <c r="K101" i="26"/>
  <c r="G101" i="26"/>
  <c r="K18" i="26"/>
  <c r="K44" i="26"/>
  <c r="J44" i="26"/>
  <c r="N58" i="26"/>
  <c r="E86" i="26"/>
  <c r="P86" i="26"/>
  <c r="O86" i="26"/>
  <c r="G86" i="26"/>
  <c r="C86" i="26"/>
  <c r="C18" i="26"/>
  <c r="I72" i="26"/>
  <c r="N86" i="26"/>
  <c r="G18" i="26"/>
  <c r="I86" i="26"/>
  <c r="H86" i="26"/>
  <c r="J58" i="26"/>
  <c r="N72" i="26"/>
  <c r="F86" i="26"/>
  <c r="N101" i="26"/>
  <c r="E44" i="26"/>
  <c r="B18" i="26"/>
  <c r="B58" i="26"/>
  <c r="F58" i="26"/>
  <c r="B86" i="26"/>
  <c r="M44" i="26"/>
  <c r="M58" i="26"/>
  <c r="D58" i="26"/>
  <c r="P72" i="26"/>
  <c r="P101" i="26"/>
  <c r="I18" i="26"/>
  <c r="I44" i="26"/>
  <c r="L44" i="26"/>
  <c r="F18" i="26"/>
  <c r="C28" i="24"/>
  <c r="P28" i="24"/>
  <c r="B3" i="33"/>
  <c r="C15" i="33"/>
  <c r="D15" i="33"/>
  <c r="G15" i="32"/>
  <c r="F15" i="32"/>
  <c r="B3" i="31"/>
  <c r="C15" i="31"/>
  <c r="D15" i="31"/>
  <c r="O11" i="25"/>
  <c r="O3" i="24"/>
  <c r="O44" i="26"/>
  <c r="O20" i="30"/>
  <c r="O21" i="30"/>
  <c r="O54" i="30"/>
  <c r="O19" i="30"/>
  <c r="O50" i="30"/>
  <c r="O15" i="30"/>
  <c r="O42" i="30"/>
  <c r="O52" i="30"/>
  <c r="O53" i="30"/>
  <c r="O41" i="30"/>
  <c r="O51" i="30"/>
  <c r="E8" i="25"/>
  <c r="E12" i="25" s="1"/>
  <c r="H8" i="25"/>
  <c r="H12" i="25" s="1"/>
  <c r="C8" i="25"/>
  <c r="M12" i="25"/>
  <c r="D8" i="25"/>
  <c r="D12" i="25" s="1"/>
  <c r="O5" i="25"/>
  <c r="O8" i="25" s="1"/>
  <c r="K8" i="25"/>
  <c r="K12" i="25" s="1"/>
  <c r="J8" i="25"/>
  <c r="J12" i="25" s="1"/>
  <c r="I8" i="25"/>
  <c r="L8" i="25"/>
  <c r="L12" i="25" s="1"/>
  <c r="O45" i="30"/>
  <c r="O49" i="30"/>
  <c r="N12" i="25"/>
  <c r="F30" i="26" l="1"/>
  <c r="I4" i="26"/>
  <c r="G4" i="26"/>
  <c r="H30" i="26"/>
  <c r="P16" i="26"/>
  <c r="C29" i="24"/>
  <c r="C30" i="26"/>
  <c r="B30" i="26"/>
  <c r="K4" i="26"/>
  <c r="K16" i="26" s="1"/>
  <c r="J30" i="26"/>
  <c r="D30" i="26"/>
  <c r="M16" i="26"/>
  <c r="Q72" i="26"/>
  <c r="Q44" i="26"/>
  <c r="J4" i="26"/>
  <c r="Q109" i="28"/>
  <c r="Q73" i="28"/>
  <c r="Q62" i="28"/>
  <c r="AV32" i="15"/>
  <c r="AW32" i="15" s="1"/>
  <c r="R93" i="29"/>
  <c r="R28" i="29"/>
  <c r="E114" i="28"/>
  <c r="Q112" i="28"/>
  <c r="Q114" i="28" s="1"/>
  <c r="Q59" i="28"/>
  <c r="Q51" i="28"/>
  <c r="Q48" i="28"/>
  <c r="Q70" i="28"/>
  <c r="Q20" i="28"/>
  <c r="Q12" i="28"/>
  <c r="Q23" i="28"/>
  <c r="Q75" i="28"/>
  <c r="F54" i="15"/>
  <c r="Q31" i="28"/>
  <c r="K34" i="28"/>
  <c r="Q34" i="28" s="1"/>
  <c r="Q9" i="28"/>
  <c r="F4" i="26"/>
  <c r="B4" i="26"/>
  <c r="C4" i="26"/>
  <c r="H4" i="26"/>
  <c r="D4" i="26"/>
  <c r="B15" i="33"/>
  <c r="B17" i="33" s="1"/>
  <c r="B15" i="32"/>
  <c r="F67" i="15"/>
  <c r="C19" i="23"/>
  <c r="J67" i="15"/>
  <c r="J41" i="15"/>
  <c r="AU30" i="15"/>
  <c r="AV30" i="15" s="1"/>
  <c r="AW30" i="15" s="1"/>
  <c r="AU31" i="15"/>
  <c r="AV31" i="15" s="1"/>
  <c r="AW31" i="15" s="1"/>
  <c r="F41" i="15"/>
  <c r="J15" i="15"/>
  <c r="J54" i="15"/>
  <c r="J80" i="15"/>
  <c r="F80" i="15"/>
  <c r="F15" i="15"/>
  <c r="J28" i="15"/>
  <c r="P68" i="27"/>
  <c r="P44" i="27"/>
  <c r="O30" i="26"/>
  <c r="O16" i="26"/>
  <c r="N16" i="26"/>
  <c r="Q86" i="26"/>
  <c r="I16" i="26"/>
  <c r="Q58" i="26"/>
  <c r="E16" i="26"/>
  <c r="M30" i="26"/>
  <c r="P30" i="26"/>
  <c r="N30" i="26"/>
  <c r="G30" i="26"/>
  <c r="E30" i="26"/>
  <c r="Q101" i="26"/>
  <c r="K30" i="26"/>
  <c r="C12" i="25"/>
  <c r="O8" i="24"/>
  <c r="C17" i="31"/>
  <c r="B15" i="31"/>
  <c r="D17" i="31"/>
  <c r="I12" i="25"/>
  <c r="B37" i="32"/>
  <c r="L16" i="26"/>
  <c r="L30" i="26"/>
  <c r="D83" i="27"/>
  <c r="P81" i="27"/>
  <c r="P27" i="27"/>
  <c r="P39" i="27"/>
  <c r="P65" i="27"/>
  <c r="I30" i="26"/>
  <c r="O4" i="30"/>
  <c r="O48" i="30"/>
  <c r="O44" i="30"/>
  <c r="G16" i="26" l="1"/>
  <c r="C16" i="26"/>
  <c r="J16" i="26"/>
  <c r="B16" i="26"/>
  <c r="D16" i="26"/>
  <c r="F16" i="26"/>
  <c r="H16" i="26"/>
  <c r="Q30" i="26"/>
  <c r="Q64" i="28"/>
  <c r="Q53" i="28"/>
  <c r="Q36" i="28"/>
  <c r="Q25" i="28"/>
  <c r="Q14" i="28"/>
  <c r="B17" i="32"/>
  <c r="O12" i="25"/>
  <c r="B17" i="31"/>
  <c r="P83" i="27"/>
  <c r="Q16" i="26" l="1"/>
  <c r="I37" i="32"/>
  <c r="F106" i="15" l="1"/>
  <c r="O21" i="24" l="1"/>
  <c r="Q21" i="24" s="1"/>
  <c r="O27" i="24" l="1"/>
  <c r="Q27" i="24" s="1"/>
  <c r="O26" i="24"/>
  <c r="Q26" i="24" s="1"/>
  <c r="F28" i="24"/>
  <c r="O25" i="24"/>
  <c r="Q25" i="24" s="1"/>
  <c r="F29" i="24" l="1"/>
  <c r="O28" i="24"/>
  <c r="O29" i="24" l="1"/>
  <c r="Q28" i="24"/>
  <c r="O30" i="30" l="1"/>
  <c r="O28" i="30"/>
  <c r="O34" i="30"/>
  <c r="O17" i="30"/>
  <c r="O31" i="30"/>
  <c r="O35" i="30"/>
  <c r="O18" i="30"/>
  <c r="O29" i="30"/>
  <c r="O32" i="30"/>
  <c r="O22" i="30"/>
  <c r="O26" i="30"/>
  <c r="O33" i="30"/>
  <c r="O16" i="30"/>
  <c r="O23" i="30"/>
  <c r="O27" i="30"/>
  <c r="O25" i="30" l="1"/>
  <c r="O56" i="30" l="1"/>
  <c r="O57" i="30" l="1"/>
  <c r="O39" i="30" l="1"/>
  <c r="O46" i="30" l="1"/>
  <c r="O36" i="30"/>
  <c r="O37" i="30"/>
  <c r="O47" i="30" l="1"/>
  <c r="O14" i="30" l="1"/>
  <c r="O3" i="30"/>
  <c r="O11" i="30"/>
  <c r="O6" i="30"/>
  <c r="O12" i="30"/>
  <c r="O38" i="30"/>
  <c r="O10" i="30"/>
  <c r="O9" i="30"/>
  <c r="O8" i="30"/>
  <c r="O13" i="30"/>
  <c r="O7" i="30"/>
  <c r="O5" i="30" l="1"/>
  <c r="O24" i="30" l="1"/>
  <c r="O40" i="30"/>
  <c r="O43" i="30" l="1"/>
  <c r="O59" i="30" l="1"/>
  <c r="C12" i="11" l="1"/>
  <c r="C13" i="11" l="1"/>
  <c r="O17" i="24" l="1"/>
  <c r="D22" i="24"/>
  <c r="E22" i="24"/>
  <c r="H22" i="24"/>
  <c r="H24" i="24" s="1"/>
  <c r="G22" i="24" l="1"/>
  <c r="G24" i="24" s="1"/>
  <c r="F22" i="24"/>
  <c r="F24" i="24" s="1"/>
  <c r="O19" i="24"/>
  <c r="Q19" i="24" s="1"/>
  <c r="C22" i="24"/>
  <c r="O16" i="24"/>
  <c r="O18" i="24"/>
  <c r="Q18" i="24" s="1"/>
  <c r="O20" i="24"/>
  <c r="Q20" i="24" s="1"/>
  <c r="C24" i="24" l="1"/>
  <c r="D24" i="24"/>
  <c r="E24" i="24"/>
  <c r="Q16" i="24"/>
  <c r="O22" i="24"/>
  <c r="Q22" i="24" l="1"/>
  <c r="O24" i="24"/>
</calcChain>
</file>

<file path=xl/comments1.xml><?xml version="1.0" encoding="utf-8"?>
<comments xmlns="http://schemas.openxmlformats.org/spreadsheetml/2006/main">
  <authors>
    <author>Ward, David</author>
  </authors>
  <commentList>
    <comment ref="T20" authorId="0" shapeId="0">
      <text>
        <r>
          <rPr>
            <b/>
            <sz val="9"/>
            <color indexed="81"/>
            <rFont val="Tahoma"/>
            <family val="2"/>
          </rPr>
          <t>Ward, David:</t>
        </r>
        <r>
          <rPr>
            <sz val="9"/>
            <color indexed="81"/>
            <rFont val="Tahoma"/>
            <family val="2"/>
          </rPr>
          <t xml:space="preserve">
Doesn't match S-5, Matches 17-18 R-5 Correction</t>
        </r>
      </text>
    </comment>
  </commentList>
</comments>
</file>

<file path=xl/sharedStrings.xml><?xml version="1.0" encoding="utf-8"?>
<sst xmlns="http://schemas.openxmlformats.org/spreadsheetml/2006/main" count="685" uniqueCount="380">
  <si>
    <t>TOTAL</t>
  </si>
  <si>
    <t>November</t>
  </si>
  <si>
    <t>June</t>
  </si>
  <si>
    <t xml:space="preserve">July                  </t>
  </si>
  <si>
    <t xml:space="preserve">August             </t>
  </si>
  <si>
    <t xml:space="preserve">September       </t>
  </si>
  <si>
    <t xml:space="preserve">October            </t>
  </si>
  <si>
    <t xml:space="preserve">November        </t>
  </si>
  <si>
    <t xml:space="preserve">December        </t>
  </si>
  <si>
    <t xml:space="preserve">January            </t>
  </si>
  <si>
    <t xml:space="preserve">February          </t>
  </si>
  <si>
    <t xml:space="preserve">March            </t>
  </si>
  <si>
    <t xml:space="preserve">April                 </t>
  </si>
  <si>
    <t xml:space="preserve">May                 </t>
  </si>
  <si>
    <t>Private Duty Nursing</t>
  </si>
  <si>
    <t>Pharmacy</t>
  </si>
  <si>
    <t>Inpatient Hospital</t>
  </si>
  <si>
    <t>Outpatient Hospital</t>
  </si>
  <si>
    <t>Monthly Growth</t>
  </si>
  <si>
    <t>Breast &amp; Cervical Cancer Program</t>
  </si>
  <si>
    <t>Foster Care</t>
  </si>
  <si>
    <t>Monthly Growth Rate</t>
  </si>
  <si>
    <t>Children Dental Expenditures</t>
  </si>
  <si>
    <t>Remaining in Appropriation</t>
  </si>
  <si>
    <t>Notes:</t>
  </si>
  <si>
    <t xml:space="preserve">June </t>
  </si>
  <si>
    <t>HMO Average</t>
  </si>
  <si>
    <t>PCPP Average</t>
  </si>
  <si>
    <t>Total Children</t>
  </si>
  <si>
    <t>Total Prenatal</t>
  </si>
  <si>
    <t xml:space="preserve">Mental Health Capitation Payments </t>
  </si>
  <si>
    <t>Mental Health Fee for Service Payments</t>
  </si>
  <si>
    <t>Partial Dual Eligibles</t>
  </si>
  <si>
    <t>1)  The Medicaid Mental Health caseload is the same as the caseload for Medical Services Premiums, with the exception of Non-citizens and Partial Dual Eligibles.</t>
  </si>
  <si>
    <t>Total Year-to-Date Expenditures</t>
  </si>
  <si>
    <t>Total Year-to-Date Appropriation</t>
  </si>
  <si>
    <t>Over-the-year Growth</t>
  </si>
  <si>
    <t>Over-the-year Growth Rate</t>
  </si>
  <si>
    <t>1)  All children's caseload reporting includes the CHP+ at Work program.</t>
  </si>
  <si>
    <t>Total</t>
  </si>
  <si>
    <t>Behavioral Healthcare Inc.</t>
  </si>
  <si>
    <t>Northeast Behavioral Health</t>
  </si>
  <si>
    <t>Colorado Health Partnerships</t>
  </si>
  <si>
    <t>Other</t>
  </si>
  <si>
    <t>Total Year-to-Date Average</t>
  </si>
  <si>
    <t>Old Age Pension State Medical Program Caseload</t>
  </si>
  <si>
    <t>1)  Source for all caseload data provided is the REX01/COLD (MARS) R-474701 report.  The number of days captured in the monthly figure is equal to the number of days in the report month.</t>
  </si>
  <si>
    <t>Total Year-to-Date</t>
  </si>
  <si>
    <t>Medicare Modernization Act State Contribution Payment Caseload</t>
  </si>
  <si>
    <t>Service Category</t>
  </si>
  <si>
    <t>Acute Care</t>
  </si>
  <si>
    <t>Physician Service</t>
  </si>
  <si>
    <t>EPSDT Screening</t>
  </si>
  <si>
    <t>Emergency Transportation</t>
  </si>
  <si>
    <t>Non-Emergency Medical Transportation</t>
  </si>
  <si>
    <t>Dental Service</t>
  </si>
  <si>
    <t>Family Planning</t>
  </si>
  <si>
    <t>Health Maintenance Organization</t>
  </si>
  <si>
    <t>Laboratory and X-Ray</t>
  </si>
  <si>
    <t>Durable Medical Equipment (DME)</t>
  </si>
  <si>
    <t>Drug Rebates - Standard</t>
  </si>
  <si>
    <t>Acute Care Subtotal</t>
  </si>
  <si>
    <t>Community Based 
Long Term Care</t>
  </si>
  <si>
    <t>HCBS - Consumer Directed Attendant Support</t>
  </si>
  <si>
    <t>HCBS - Brain Injury</t>
  </si>
  <si>
    <t>HCBS - Children with Autism</t>
  </si>
  <si>
    <t>Hospice</t>
  </si>
  <si>
    <t>CBLTC Subtotal</t>
  </si>
  <si>
    <t>Long Term Care and Insurance</t>
  </si>
  <si>
    <t>Supplemental Medicare Insurance Benefit</t>
  </si>
  <si>
    <t>Health Insurance Buy-In Program</t>
  </si>
  <si>
    <t>LTC + Insurance Subtotal</t>
  </si>
  <si>
    <t>Service Management Subtotal</t>
  </si>
  <si>
    <t>Financing</t>
  </si>
  <si>
    <t>Outpatient Hospital Upper Payment Limit</t>
  </si>
  <si>
    <t>Home Health Service Upper Payment Limit</t>
  </si>
  <si>
    <t>Other Categories Subtotal</t>
  </si>
  <si>
    <t>Total Expenditures</t>
  </si>
  <si>
    <t>Medicaid</t>
  </si>
  <si>
    <t>CHP+</t>
  </si>
  <si>
    <t>Rural Health Centers</t>
  </si>
  <si>
    <t>Federally Qualified Health Centers</t>
  </si>
  <si>
    <t>Co-Insurance (Title XVIII-Medicare)</t>
  </si>
  <si>
    <t>Breast and Cervical Cancer Treatment Program</t>
  </si>
  <si>
    <t>Prepaid Inpatient Health Plan Services</t>
  </si>
  <si>
    <t>Other Medical Services</t>
  </si>
  <si>
    <t>HCBS - Elderly, Blind, and Disabled</t>
  </si>
  <si>
    <t>Class I Nursing Facilities</t>
  </si>
  <si>
    <t>Class II Nursing Facilities</t>
  </si>
  <si>
    <t>Program of All-Inclusive Care for the Elderly</t>
  </si>
  <si>
    <t>Single Entry Points</t>
  </si>
  <si>
    <t>Disease Management</t>
  </si>
  <si>
    <t>Prepaid Inpatient Health Plan Administration</t>
  </si>
  <si>
    <t>Hospital Supplemental Medicaid Payments</t>
  </si>
  <si>
    <t>Outstationing Payments</t>
  </si>
  <si>
    <t>Nursing Facility Supplemental Payments</t>
  </si>
  <si>
    <t>Physician Supplemental Payments</t>
  </si>
  <si>
    <t>Number of Weeks in Month</t>
  </si>
  <si>
    <t>FY 2009-10 Actuals</t>
  </si>
  <si>
    <t>PIHP Average</t>
  </si>
  <si>
    <t>Nursing Facility Upper Payment Limit</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</si>
  <si>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</si>
  <si>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</si>
  <si>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</si>
  <si>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</si>
  <si>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</si>
  <si>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</si>
  <si>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</si>
  <si>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SMCN</t>
  </si>
  <si>
    <t>Kaiser</t>
  </si>
  <si>
    <t>DH</t>
  </si>
  <si>
    <t>Rocky</t>
  </si>
  <si>
    <t>CO Access HMO</t>
  </si>
  <si>
    <t>CO Choice</t>
  </si>
  <si>
    <t xml:space="preserve">From Plans </t>
  </si>
  <si>
    <t>Caseload</t>
  </si>
  <si>
    <t>Oracle "alter table" add column syntax example</t>
  </si>
  <si>
    <t xml:space="preserve">FY 2011-12 Actuals </t>
  </si>
  <si>
    <t>FY 2011-12 Actuals</t>
  </si>
  <si>
    <t>k</t>
  </si>
  <si>
    <t>HCBS - Spinal Cord Injury</t>
  </si>
  <si>
    <t>FY 2012-13 Actuals</t>
  </si>
  <si>
    <t xml:space="preserve">FY 2012-13 Actuals </t>
  </si>
  <si>
    <t>3)  Year-to-Date Totals are calculated as the sum of monthly expenditures and the average of monthly caseload.</t>
  </si>
  <si>
    <t>Foothills Behavioral Health</t>
  </si>
  <si>
    <t xml:space="preserve">Foothills Behavioral Health </t>
  </si>
  <si>
    <t>2) Total November and December expenditure is not equal to the sum of payments made to individual plans due to an accounting adjustment.</t>
  </si>
  <si>
    <t>Total Expenditure</t>
  </si>
  <si>
    <t>3) Total expenditure includes accounting adjustments not related to specific Behavioral Health Organizations</t>
  </si>
  <si>
    <t xml:space="preserve">1) FY 2013-14 Year-to-Date Appropriation includes FY 2013-14 Supplemental Bill HB 14-1236 and Special Bills </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</si>
  <si>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</si>
  <si>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</si>
  <si>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</si>
  <si>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</si>
  <si>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</si>
  <si>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</si>
  <si>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</si>
  <si>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</si>
  <si>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</si>
  <si>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</si>
  <si>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</si>
  <si>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</si>
  <si>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Accounting Adjustments</t>
  </si>
  <si>
    <t>HCBS - Supported Living Services</t>
  </si>
  <si>
    <t>HCBS - Children's Extensive Support</t>
  </si>
  <si>
    <t>HCBS - Targeted Case Management</t>
  </si>
  <si>
    <t>State Only Programs</t>
  </si>
  <si>
    <t>State Only Supported Living Services</t>
  </si>
  <si>
    <t>Family Support Services Program</t>
  </si>
  <si>
    <t>Case Management</t>
  </si>
  <si>
    <t>State Only Programs Subtotal</t>
  </si>
  <si>
    <t>Expenditure Per Week</t>
  </si>
  <si>
    <t xml:space="preserve">Notes: </t>
  </si>
  <si>
    <t xml:space="preserve">December    </t>
  </si>
  <si>
    <r>
      <t>MEDICAID CASELOAD WITHOUT RETROACTIVITY</t>
    </r>
    <r>
      <rPr>
        <b/>
        <vertAlign val="superscript"/>
        <sz val="12"/>
        <rFont val="Times New Roman"/>
        <family val="1"/>
      </rPr>
      <t>1</t>
    </r>
  </si>
  <si>
    <t xml:space="preserve">FY 2013-14 Actuals </t>
  </si>
  <si>
    <t>1)  Caseload for Medicare Modernization Act State Contribution Payment is from the Centers for Medicare and Medicaid Services Summary Accounting Statement for the State Contribution for Prescription Drug Benefit.  This caseload includes 23 months of retroactivity, and is not comparable to the official Medicaid caseload included in this report.</t>
  </si>
  <si>
    <t xml:space="preserve">2)  Medicare Modernization Act State Contribution Payments lag by two months.  As a result, current month expenditures are related to the caseload from the month three months prior from the current month. </t>
  </si>
  <si>
    <t>1)  "Other" category includes clients enrolled in the Program of All-Inclusive Care for the Elderly and clients ineligible for Medicaid Mental Health Benefits.</t>
  </si>
  <si>
    <t>Service Mgmt.</t>
  </si>
  <si>
    <t>DIDD</t>
  </si>
  <si>
    <t>DIDD Subtotal</t>
  </si>
  <si>
    <t>HCBS - Developmental Disabilities</t>
  </si>
  <si>
    <t>Medical Services Premiums
Hospital Supplemental Payments</t>
  </si>
  <si>
    <t>Total Medical Services Premiums Payments</t>
  </si>
  <si>
    <t>CICP</t>
  </si>
  <si>
    <t>Total CICP Payments</t>
  </si>
  <si>
    <t>Total Supplemental Payments</t>
  </si>
  <si>
    <t>Rocky Mountain Health Plans HMO</t>
  </si>
  <si>
    <t>Denver Health &amp; Hospital Authority HMO</t>
  </si>
  <si>
    <t>Inpatient Medicaid Supplemental Payments</t>
  </si>
  <si>
    <t>Medicaid Hospital Quality Incentive Payments</t>
  </si>
  <si>
    <t>Outpatient Medicaid Supplemental Payments</t>
  </si>
  <si>
    <t>AAAAAAAAA</t>
  </si>
  <si>
    <t xml:space="preserve">2) Family Support Services Program does not have a caseload appropriation. Services are rendered on a case-by-case and as needed basis. </t>
  </si>
  <si>
    <t>Accountable Care Collaborative Caseload by RCCO and County</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</si>
  <si>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</si>
  <si>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</si>
  <si>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</si>
  <si>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</si>
  <si>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</si>
  <si>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</si>
  <si>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</si>
  <si>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</si>
  <si>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</si>
  <si>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</si>
  <si>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</si>
  <si>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</si>
  <si>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</si>
  <si>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</si>
  <si>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</si>
  <si>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</si>
  <si>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</si>
  <si>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</si>
  <si>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</si>
  <si>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</si>
  <si>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</si>
  <si>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</si>
  <si>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</si>
  <si>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</si>
  <si>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</si>
  <si>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</si>
  <si>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</si>
  <si>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</si>
  <si>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</si>
  <si>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</si>
  <si>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</si>
  <si>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</si>
  <si>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</si>
  <si>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</si>
  <si>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</si>
  <si>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</si>
  <si>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</si>
  <si>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</si>
  <si>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</si>
  <si>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</si>
  <si>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</si>
  <si>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</si>
  <si>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</si>
  <si>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</si>
  <si>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</si>
  <si>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</si>
  <si>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</si>
  <si>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</si>
  <si>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</si>
  <si>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</si>
  <si>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</si>
  <si>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</si>
  <si>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</si>
  <si>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</si>
  <si>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</si>
  <si>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</si>
  <si>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</si>
  <si>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</si>
  <si>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</si>
  <si>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</si>
  <si>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</si>
  <si>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</si>
  <si>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</si>
  <si>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</si>
  <si>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RCCO</t>
  </si>
  <si>
    <t>County</t>
  </si>
  <si>
    <t>RCCO 2</t>
  </si>
  <si>
    <t>RCCO 4</t>
  </si>
  <si>
    <t>RCCO 5</t>
  </si>
  <si>
    <t>RCCO 6</t>
  </si>
  <si>
    <t>RCCO 7</t>
  </si>
  <si>
    <t>Total ACC Caseload</t>
  </si>
  <si>
    <t>(1) Client movement between counties and presumptive eligibility are captured in the "Unknown" county category.</t>
  </si>
  <si>
    <r>
      <t>Unknown</t>
    </r>
    <r>
      <rPr>
        <vertAlign val="superscript"/>
        <sz val="12"/>
        <rFont val="Times New Roman"/>
        <family val="1"/>
      </rPr>
      <t>(1)</t>
    </r>
  </si>
  <si>
    <t>FY 2015-16</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</si>
  <si>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Mental Health caseload is the same as the caseload for Medical Services Premiums, with the exception of Non-citizens and Partial Dual Eligibles.</t>
  </si>
  <si>
    <t>FY 2014-15 Actuals</t>
  </si>
  <si>
    <t>Program</t>
  </si>
  <si>
    <t>HCBS - Developmental Disabilities - Regional Centers</t>
  </si>
  <si>
    <t>Quality Assurance, Utilization Review and Supports Intensity Scale</t>
  </si>
  <si>
    <t>State Only Case Management</t>
  </si>
  <si>
    <t xml:space="preserve">4) HCBS-DD Waiver Service costs for clients living in Regional Centers reporting will be sporadic as the costs must be manually transferred from the HCBS-DD line item. </t>
  </si>
  <si>
    <t xml:space="preserve">FY 2014-15 Actuals </t>
  </si>
  <si>
    <r>
      <t>ACC Average</t>
    </r>
    <r>
      <rPr>
        <b/>
        <vertAlign val="superscript"/>
        <sz val="12"/>
        <rFont val="Times New Roman"/>
        <family val="1"/>
      </rPr>
      <t>6</t>
    </r>
  </si>
  <si>
    <r>
      <t>RCCO 1</t>
    </r>
    <r>
      <rPr>
        <b/>
        <vertAlign val="superscript"/>
        <sz val="12"/>
        <rFont val="Times New Roman"/>
        <family val="1"/>
      </rPr>
      <t>2</t>
    </r>
  </si>
  <si>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</si>
  <si>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</si>
  <si>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</si>
  <si>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</si>
  <si>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</si>
  <si>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</si>
  <si>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</si>
  <si>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t>Acute Home Health</t>
  </si>
  <si>
    <t>Long-Term Home Health</t>
  </si>
  <si>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</si>
  <si>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</si>
  <si>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</si>
  <si>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</si>
  <si>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</si>
  <si>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</si>
  <si>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</si>
  <si>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</si>
  <si>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</si>
  <si>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</si>
  <si>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</si>
  <si>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</si>
  <si>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</si>
  <si>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</si>
  <si>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</si>
  <si>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</si>
  <si>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</si>
  <si>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</si>
  <si>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Colorado Access Northeast</t>
  </si>
  <si>
    <t>Colorado Access Denver</t>
  </si>
  <si>
    <t>Uncompensated Care Supplemental Hospital Medicaid Payment</t>
  </si>
  <si>
    <t>1) Source for all caseload data provided is the REX01/COLD (MARS) R-474701 report.  The number of days captured in the monthly figure is equal to the number of days in the report month.</t>
  </si>
  <si>
    <t>CCT - Services</t>
  </si>
  <si>
    <t>2)  FY 2015-16 Year-to-Date Appropriation includes HB 15-234 (FY 2015-16 Long Bill), Special Bills, HB 16-1240 (FY 2015-16 Supplemental Bill), and HB 16-1405 (FY 2016-17 Long Bill Add-on).</t>
  </si>
  <si>
    <t>FY 2015-16 Actuals</t>
  </si>
  <si>
    <t>Access - Kaiser HMO</t>
  </si>
  <si>
    <t>(2) RCCO 1 includes caseload for Rocky Mountain Health Plans HMO and RCCO 3 includes caseload for the Access-Kaiser HMO, as these pilots are ACC initiatives.</t>
  </si>
  <si>
    <t xml:space="preserve">FY 2015-16 Actuals </t>
  </si>
  <si>
    <t>3) Medicaid Managed Care includes clients who are enrolled in Rocky Mountain Health Plans HMO, Access-Kaiser HMO, Denver Health &amp; Hospital Authority HMO, and PACE.</t>
  </si>
  <si>
    <t>1) Historically, DIDD State Only Programs and QA/UR/SIS do not have expenditures in accounting period 1. They do, however, have historical expenditures in periods 02 through 13.</t>
  </si>
  <si>
    <t xml:space="preserve">5) State Only Programs are part of the Targeted Case Management appropriation and do not have a stand alone appropriation. The appropriation listed here matches the contract amount for each program. </t>
  </si>
  <si>
    <r>
      <t>RCCO 3</t>
    </r>
    <r>
      <rPr>
        <b/>
        <vertAlign val="superscript"/>
        <sz val="12"/>
        <rFont val="Times New Roman"/>
        <family val="1"/>
      </rPr>
      <t>2</t>
    </r>
  </si>
  <si>
    <t>Other Payment and Adjustments</t>
  </si>
  <si>
    <r>
      <t>ACC - Accountable Care Collaborative</t>
    </r>
    <r>
      <rPr>
        <b/>
        <vertAlign val="superscript"/>
        <sz val="12"/>
        <rFont val="Times New Roman"/>
        <family val="1"/>
      </rPr>
      <t>5</t>
    </r>
  </si>
  <si>
    <r>
      <t>PACE - Program of All-Inclusive Care for the Elderly</t>
    </r>
    <r>
      <rPr>
        <b/>
        <vertAlign val="superscript"/>
        <sz val="12"/>
        <rFont val="Times New Roman"/>
        <family val="1"/>
      </rPr>
      <t xml:space="preserve">4 </t>
    </r>
  </si>
  <si>
    <t>CICP Disproportionate Share Hospital (DSH) Payment</t>
  </si>
  <si>
    <t>A
A</t>
  </si>
  <si>
    <t>Preventive Services</t>
  </si>
  <si>
    <t>A 
A</t>
  </si>
  <si>
    <t>A
A
A</t>
  </si>
  <si>
    <t>A
A
A
A</t>
  </si>
  <si>
    <t>Medicaid Disproportionate Share Hospital (DSH) and Other Payments</t>
  </si>
  <si>
    <t>FY 2017-18</t>
  </si>
  <si>
    <t>FY 2017-18 Total YTD</t>
  </si>
  <si>
    <t>FY 2017-18 Appropriation</t>
  </si>
  <si>
    <t>FY 2017-18 Long Bill Appropriation (SB 17-254)</t>
  </si>
  <si>
    <t>SB 17-091 "Allow Medicaid Home Health in the Community"</t>
  </si>
  <si>
    <t>SB 17-256 "Hospital Reimbursement Rates"</t>
  </si>
  <si>
    <t>SB 17-267 "Sustainability of Rural Colorado"</t>
  </si>
  <si>
    <t>HB 17-1353 "Implement Medicaid Delivery and Payment Initiatives"</t>
  </si>
  <si>
    <t>FY 2017-18 Appropriation YTD</t>
  </si>
  <si>
    <t>FY 2017-18 YTD Expenditures</t>
  </si>
  <si>
    <t xml:space="preserve">Remaining FY 2017-18 Appropriation </t>
  </si>
  <si>
    <t>FY 2017-18 Supplemental Payments by Service Category</t>
  </si>
  <si>
    <t>FY 2016-17 Actuals</t>
  </si>
  <si>
    <t>FY 2017-18 Year-to-Date Average</t>
  </si>
  <si>
    <t>FY 2017-18 Year-to-Date Appropriation</t>
  </si>
  <si>
    <t>FY 2017-18 Old Age Pension State Medical Program Expenditures and Caseload</t>
  </si>
  <si>
    <t>FY 2017-18 Medicare Modernization Act State Contribution Payment Expenditures and Caseload</t>
  </si>
  <si>
    <t>FY 2017-18 Division for Intellectual and Developmental Disabilities (DIDD) Waiver and State Only Program Caseload Per Month</t>
  </si>
  <si>
    <t>FY 2017-18 Average YTD</t>
  </si>
  <si>
    <t>FY 2017-18 Authorized Maximum Enrollment</t>
  </si>
  <si>
    <t>Percent of FY 2017-18 Appropriation Spent</t>
  </si>
  <si>
    <t>FY 2017-18 Division for Intellectual and Developmental Disabilities (DIDD) Waiver and State Only Program Expenditure Per Month</t>
  </si>
  <si>
    <t>FY 2017-18 Average Monthly Enrollment</t>
  </si>
  <si>
    <t>2)  FY 2017-18 Year-to-Date Appropriation includes SB 17-254 (FY 2017-18 Long Bill) and SB 17-267 (FY 2017-18 Sustainability of Rural Colorado Special Bill).</t>
  </si>
  <si>
    <t>A</t>
  </si>
  <si>
    <t>FY 2017-18 Medicaid Mental Health Community Programs Expenditures</t>
  </si>
  <si>
    <t>FY 2017-18 Medicaid Community Mental Health Program Expenditures by Behavioral Health Organization</t>
  </si>
  <si>
    <t>FY 2017-18 Medicaid Community Mental Health Program Caseload by Behavioral Health Organization</t>
  </si>
  <si>
    <t>1)  FY 2017-18 Year-to-Date Appropriation includes SB 17-254 (FY 2017-18 Long Bill) and SB 17-267 (FY 2017-18 Sustainability of Rural Colorado Special Bill).</t>
  </si>
  <si>
    <t>4)  FY 2017-18 Year-to-Date Appropriation includes SB 17-254 (FY 2017-18 Long Bill).</t>
  </si>
  <si>
    <t xml:space="preserve">FY 2016-17 Actuals </t>
  </si>
  <si>
    <t>2) The FY 2017-18 Year-to-Date Appropriation includes SB 17-254 (FY 2017-18 Long Bill).</t>
  </si>
  <si>
    <t>3) FY 2017-18 Appropriations for DIDD Supported Living Services and Targeted Case Management were adjusted to reflect only the portion appropriated for those services. State-only program appropriations were removed.</t>
  </si>
  <si>
    <t>4) A system issue skewed the distribution of caseload between the MAGI Adults and MAGI Parents/Caretakers 69% to 133% categories for March, April, and May 2017, artifically inflating MAGI Parents/Caretakers 69% to 133% and deflating MAGI Adults; the system issue was resolved by June 2017.</t>
  </si>
  <si>
    <t>2) Medicaid Fee for Service includes all Medicaid clients who are not enrolled in a Managed Care program.  Enrollment here includes Managed Fee for Service ACC enrollment, but does not include all clients shown in the ACC Accountable Care Collaborative section.  See Footnote 4 for more information.</t>
  </si>
  <si>
    <t>4) Accountable Care Collaborative (ACC) caseload includes ACC Managed Fee for Service enrollment, as well as the Rocky Mountain Health Plans HMO enrollment and Access-Kaiser HMO, as these pilots are ACC initiatives.</t>
  </si>
  <si>
    <t>FY 2017-18  YTD</t>
  </si>
  <si>
    <t>HCBS - Children's HCBS</t>
  </si>
  <si>
    <t>HCBS - Children with Life Limiting Illness</t>
  </si>
  <si>
    <t>HCBS - Community Mental Health Supports</t>
  </si>
  <si>
    <t>FY 2017-18 Children's Basic Health Plan Expenditures</t>
  </si>
  <si>
    <t xml:space="preserve">7) There is a known systems issue preventing PAR registration for Regional Center HCBS-DD clients. PAR caseload data for this population is likely to be artificially low, and the Department will update caseload figures as soon as reliable date is available. </t>
  </si>
  <si>
    <t>6) The Department processed significantly more claims for Regional Center HCBS-DD clients in November. The Department believes that these claims were submitted to reconcile unpaid claims that were rejected due to systems issue with the Departments new interchange claim processing system that went live in March 2017.</t>
  </si>
  <si>
    <t>N/A</t>
  </si>
  <si>
    <t>University of Colorado School of Medicine Payments</t>
  </si>
  <si>
    <t xml:space="preserve">1)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January 15, 2018, and may be restated in future reports based on further analysis.  </t>
  </si>
  <si>
    <t xml:space="preserve">2) For the January 2018 report, the Department restated expenditure for July through November, as the result of a system improvement allowing for better identification of data. The net effect on expenditure is zero, but the expenditure by category has changed among services and appropriations.  </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</si>
  <si>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January 15, 2018, and may be restated in future reports based on further analysis.  </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</si>
  <si>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January 15, 2018, and may be restated in future reports based on further analysis.  </t>
  </si>
  <si>
    <t xml:space="preserve">6) In the January 2018 report, the Department restated caseload for July through November, as the result of improved identification of eligibility categories within the data. This change resulted in fluctuations among the MAGI Parents/Caretakers to 68% FPL, MAGI Eligible Children, SB 11-008 Eligible Children, MAGI Pregnant Adults, and SB 11-250 Eligible Pregnant Adults categories.  </t>
  </si>
  <si>
    <t xml:space="preserve">4) For the January 2018 report, the Department restated expenditure for July through November, as the result of a system improvement allowing for better identification of data. The net effect on expenditure is zero, but the expenditure by category has changed among services and appropriations.  </t>
  </si>
  <si>
    <t>5) Mental Health Capitation Payments expenditure for December 2017 is negative due to the collection of anticipated recoupments from Behavioral Health Organizations.</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</si>
  <si>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January 15, 2018, and may be restated in future reports based on further analysis.  </t>
  </si>
  <si>
    <t>3) For the January 2018 report, the Department restated expenditure for July through November, as the result of a system improvement allowing for better identification of data. The net effect on expenditure is zero, but the expenditure by category has changed among services and appropriations.</t>
  </si>
  <si>
    <t>4) For the January 2018 report, the Department restated expenditure for July through November, as the result of a system improvement allowing for better identification of data. The net effect on expenditure is zero, but the expenditure by category has changed among services and appropriations.</t>
  </si>
  <si>
    <t>5) Mental Health Program Expenditures for December 2017 are primarily negative due to the collection of anticipated recoupments from Behavioral Health Organizations.</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</si>
  <si>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January 15, 2018, and may be restated in future reports based on further analysis. </t>
  </si>
  <si>
    <t>4) Children's Basic Health Plan Expenditures for December 2017 are inflated due to the payment of interim payments for the State Managed Care Network.</t>
  </si>
  <si>
    <t xml:space="preserve">8)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January 15, 2018, and may be restated in future reports based on further analysis.  </t>
  </si>
  <si>
    <t>9) Caseload numbers shown as "&lt; 30" cannot be displayed due to the Health Insurance Portability and Accountability Act of 1996 (HIPAA).</t>
  </si>
  <si>
    <t>10) For the January 2018 report, the Department restated expenditure for July through November, as the result of a system improvement allowing for better identification of data. The net effect on expenditure is zero, but the expenditure by category has changed among services and appropriations.</t>
  </si>
  <si>
    <t>6) For the January 2018 report, the Department restated expenditure for July through November, as the result of a system improvement allowing for better identification of data. The net effect on expenditure is zero, but the expenditure by category has changed among services and appropriations.</t>
  </si>
  <si>
    <t>3) Excess funds in the Old Age Pension Health and Medical Care Fund are used to offset the need for General Fund in the Medical Services Premiums line item.</t>
  </si>
  <si>
    <t>2) Year-to-Date Totals are calculated as the sum of monthly expenditures and the average of monthly caseload.</t>
  </si>
  <si>
    <t>4) FY 2017-18 Year-to-Date Appropriation includes SB 17-254 (FY 2017-18 Long Bill).</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</si>
  <si>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January 15, 2018, and may be restated in future reports based on further analysis.  </t>
  </si>
  <si>
    <t>&lt; 30</t>
  </si>
  <si>
    <t xml:space="preserve">5) In the January 2018 report, the Department restated caseload for March through November, as the result of improved identification of eligibility categories within the data. This change resulted in fluctuations among the MAGI Parents/Caretakers to 68% FPL, MAGI Eligible Children, SB 11-008 Eligible Children, MAGI Pregnant Adults, and SB 11-250 Eligible Pregnant Adults categories.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</si>
</sst>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5" formatCode="&quot;$&quot;#,##0_);\(&quot;$&quot;#,##0\)"/>
    <numFmt numFmtId="6" formatCode="&quot;$&quot;#,##0_);[Red]\(&quot;$&quot;#,##0\)"/>
    <numFmt numFmtId="7" formatCode="&quot;$&quot;#,##0.00_);\(&quot;$&quot;#,##0.00\)"/>
    <numFmt numFmtId="41" formatCode="_(* #,##0_);_(* \(#,##0\);_(* &quot;-&quot;_);_(@_)"/>
    <numFmt numFmtId="43" formatCode="_(* #,##0.00_);_(* \(#,##0.00\);_(* &quot;-&quot;??_);_(@_)"/>
    <numFmt numFmtId="164" formatCode="0.0%"/>
    <numFmt numFmtId="165" formatCode="_(* #,##0_);_(* \(#,##0\);_(* &quot;-&quot;??_);_(@_)"/>
    <numFmt numFmtId="166" formatCode="0.000%"/>
    <numFmt numFmtId="167" formatCode="&quot;$&quot;#,##0"/>
    <numFmt numFmtId="168" formatCode="0.00_)"/>
    <numFmt numFmtId="169" formatCode="mmmm\ yyyy"/>
    <numFmt numFmtId="170" formatCode="[$-409]mmmm\ yyyy;@"/>
    <numFmt numFmtId="171" formatCode="mmm\ yyyy"/>
    <numFmt numFmtId="172" formatCode="#,##0;\(#,##0\)"/>
    <numFmt numFmtId="173" formatCode="[$-409]mmm\-yy;@"/>
    <numFmt numFmtId="174" formatCode="#,###;\(#,###\)"/>
    <numFmt numFmtId="175" formatCode="&quot;$&quot;#,##0.00"/>
    <numFmt numFmtId="176" formatCode=";;;"/>
    <numFmt numFmtId="177" formatCode="0.0000%"/>
    <numFmt numFmtId="178" formatCode="mmmm\_x000a_yyyy"/>
    <numFmt numFmtId="179" formatCode="#,##0.00;\(#,##0.00\);0.00"/>
    <numFmt numFmtId="180" formatCode="&quot;$&quot;#,##0.0000_);\(&quot;$&quot;#,##0.0000\)"/>
  </numFmts>
  <fonts count="60" x14ac:knownFonts="1">
    <font>
      <sz val="10"/>
      <name val="Arial"/>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u/>
      <sz val="10"/>
      <color theme="10"/>
      <name val="Arial"/>
      <family val="2"/>
    </font>
    <font>
      <sz val="9"/>
      <color indexed="81"/>
      <name val="Tahoma"/>
      <family val="2"/>
    </font>
    <font>
      <b/>
      <sz val="9"/>
      <color indexed="81"/>
      <name val="Tahoma"/>
      <family val="2"/>
    </font>
    <font>
      <sz val="12"/>
      <color theme="1"/>
      <name val="Times New Roman"/>
      <family val="1"/>
    </font>
    <font>
      <u/>
      <sz val="12"/>
      <color theme="10"/>
      <name val="Times New Roman"/>
      <family val="1"/>
    </font>
    <font>
      <sz val="12"/>
      <color rgb="FFFF0000"/>
      <name val="Times New Roman"/>
      <family val="1"/>
    </font>
    <font>
      <u/>
      <sz val="12"/>
      <color theme="1"/>
      <name val="Times New Roman"/>
      <family val="1"/>
    </font>
    <font>
      <b/>
      <vertAlign val="superscript"/>
      <sz val="12"/>
      <name val="Times New Roman"/>
      <family val="1"/>
    </font>
    <font>
      <b/>
      <sz val="12"/>
      <color rgb="FFFF0000"/>
      <name val="Times New Roman"/>
      <family val="1"/>
    </font>
    <font>
      <vertAlign val="superscript"/>
      <sz val="12"/>
      <name val="Times New Roman"/>
      <family val="1"/>
    </font>
    <font>
      <sz val="11"/>
      <color rgb="FFFF0000"/>
      <name val="Calibri"/>
      <family val="2"/>
    </font>
    <font>
      <b/>
      <sz val="12"/>
      <color theme="1"/>
      <name val="Times New Roman"/>
      <family val="1"/>
    </font>
    <font>
      <sz val="10"/>
      <name val="Arial"/>
      <family val="2"/>
    </font>
    <font>
      <sz val="9"/>
      <color indexed="8"/>
      <name val="Arial"/>
      <family val="2"/>
    </font>
    <font>
      <i/>
      <sz val="12"/>
      <name val="Times New Roman"/>
      <family val="1"/>
    </font>
    <font>
      <sz val="11"/>
      <color theme="1"/>
      <name val="Times New Roman"/>
      <family val="1"/>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b/>
      <sz val="10"/>
      <name val="Arial"/>
      <family val="2"/>
    </font>
    <font>
      <sz val="10"/>
      <name val="Arial"/>
      <family val="2"/>
    </font>
    <font>
      <b/>
      <sz val="14"/>
      <name val="Times New Roman"/>
      <family val="1"/>
    </font>
  </fonts>
  <fills count="4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indexed="9"/>
        <bgColor indexed="9"/>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theme="0"/>
      </top>
      <bottom/>
      <diagonal/>
    </border>
    <border>
      <left/>
      <right/>
      <top style="thin">
        <color theme="0"/>
      </top>
      <bottom style="thin">
        <color theme="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theme="0"/>
      </left>
      <right/>
      <top style="medium">
        <color indexed="64"/>
      </top>
      <bottom style="thin">
        <color theme="0"/>
      </bottom>
      <diagonal/>
    </border>
    <border>
      <left style="thin">
        <color theme="0"/>
      </left>
      <right style="thin">
        <color theme="0"/>
      </right>
      <top style="medium">
        <color indexed="64"/>
      </top>
      <bottom style="thin">
        <color theme="0"/>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theme="0"/>
      </top>
      <bottom style="hair">
        <color theme="0"/>
      </bottom>
      <diagonal/>
    </border>
    <border>
      <left/>
      <right/>
      <top style="thin">
        <color theme="0"/>
      </top>
      <bottom style="hair">
        <color theme="0"/>
      </bottom>
      <diagonal/>
    </border>
    <border>
      <left/>
      <right style="medium">
        <color indexed="64"/>
      </right>
      <top style="thin">
        <color theme="0"/>
      </top>
      <bottom style="hair">
        <color theme="0"/>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s>
  <cellStyleXfs count="143">
    <xf numFmtId="0" fontId="0" fillId="0" borderId="0" applyFont="0"/>
    <xf numFmtId="172" fontId="8" fillId="0" borderId="0" applyFont="0" applyFill="0" applyBorder="0" applyAlignment="0" applyProtection="0"/>
    <xf numFmtId="174" fontId="8" fillId="0" borderId="0" applyFont="0" applyFill="0" applyBorder="0" applyAlignment="0" applyProtection="0"/>
    <xf numFmtId="3" fontId="9" fillId="0" borderId="0" applyFont="0" applyFill="0" applyBorder="0" applyAlignment="0" applyProtection="0">
      <alignment vertical="top"/>
    </xf>
    <xf numFmtId="5" fontId="8" fillId="0" borderId="0" applyFont="0" applyFill="0" applyBorder="0" applyAlignment="0" applyProtection="0"/>
    <xf numFmtId="5" fontId="9" fillId="0" borderId="0" applyFont="0" applyFill="0" applyBorder="0" applyAlignment="0" applyProtection="0">
      <alignment vertical="top"/>
    </xf>
    <xf numFmtId="0" fontId="9" fillId="0" borderId="0" applyFont="0" applyFill="0" applyBorder="0" applyAlignment="0" applyProtection="0">
      <alignment vertical="top"/>
    </xf>
    <xf numFmtId="2" fontId="9" fillId="0" borderId="0" applyFont="0" applyFill="0" applyBorder="0" applyAlignment="0" applyProtection="0">
      <alignment vertical="top"/>
    </xf>
    <xf numFmtId="38" fontId="10" fillId="2" borderId="0" applyNumberFormat="0" applyBorder="0" applyAlignment="0" applyProtection="0"/>
    <xf numFmtId="0" fontId="11" fillId="0" borderId="1" applyNumberFormat="0" applyAlignment="0" applyProtection="0">
      <alignment horizontal="left" vertical="center"/>
    </xf>
    <xf numFmtId="0" fontId="11" fillId="0" borderId="2">
      <alignment horizontal="left" vertical="center"/>
    </xf>
    <xf numFmtId="0" fontId="12" fillId="0" borderId="0" applyNumberFormat="0" applyFill="0" applyBorder="0" applyAlignment="0" applyProtection="0">
      <alignment vertical="top"/>
    </xf>
    <xf numFmtId="0" fontId="13" fillId="0" borderId="0" applyNumberFormat="0" applyFill="0" applyBorder="0" applyAlignment="0" applyProtection="0">
      <alignment vertical="top"/>
    </xf>
    <xf numFmtId="0" fontId="20" fillId="0" borderId="0" applyNumberFormat="0" applyFill="0" applyBorder="0" applyAlignment="0" applyProtection="0">
      <alignment vertical="top"/>
      <protection locked="0"/>
    </xf>
    <xf numFmtId="10" fontId="10" fillId="3" borderId="3" applyNumberFormat="0" applyBorder="0" applyAlignment="0" applyProtection="0"/>
    <xf numFmtId="168" fontId="14" fillId="0" borderId="0"/>
    <xf numFmtId="0" fontId="17" fillId="0" borderId="0"/>
    <xf numFmtId="0" fontId="8" fillId="0" borderId="0"/>
    <xf numFmtId="10" fontId="8" fillId="0" borderId="0" applyFont="0" applyFill="0" applyBorder="0" applyAlignment="0" applyProtection="0"/>
    <xf numFmtId="10" fontId="8" fillId="0" borderId="0" applyFont="0" applyFill="0" applyBorder="0" applyAlignment="0" applyProtection="0"/>
    <xf numFmtId="0" fontId="9" fillId="0" borderId="4" applyNumberFormat="0" applyFont="0" applyFill="0" applyAlignment="0" applyProtection="0">
      <alignment vertical="top"/>
    </xf>
    <xf numFmtId="0" fontId="7" fillId="0" borderId="0"/>
    <xf numFmtId="5" fontId="7" fillId="0" borderId="0" applyFont="0" applyFill="0" applyBorder="0" applyAlignment="0" applyProtection="0"/>
    <xf numFmtId="0" fontId="7" fillId="0" borderId="0"/>
    <xf numFmtId="0" fontId="7" fillId="0" borderId="0"/>
    <xf numFmtId="0" fontId="7" fillId="0" borderId="0"/>
    <xf numFmtId="0" fontId="7" fillId="0" borderId="0"/>
    <xf numFmtId="172" fontId="8" fillId="0" borderId="0" applyFont="0" applyFill="0" applyBorder="0" applyAlignment="0" applyProtection="0"/>
    <xf numFmtId="0" fontId="8" fillId="0" borderId="0"/>
    <xf numFmtId="0" fontId="8" fillId="0" borderId="0" applyFont="0"/>
    <xf numFmtId="0" fontId="6" fillId="0" borderId="0"/>
    <xf numFmtId="0" fontId="32" fillId="0" borderId="0"/>
    <xf numFmtId="43" fontId="8" fillId="0" borderId="0" applyFont="0" applyFill="0" applyBorder="0" applyAlignment="0" applyProtection="0"/>
    <xf numFmtId="3" fontId="8" fillId="0" borderId="0" applyFont="0" applyFill="0" applyBorder="0" applyAlignment="0" applyProtection="0">
      <alignment vertical="top"/>
    </xf>
    <xf numFmtId="5" fontId="8" fillId="0" borderId="0" applyFont="0" applyFill="0" applyBorder="0" applyAlignment="0" applyProtection="0">
      <alignment vertical="top"/>
    </xf>
    <xf numFmtId="0" fontId="8" fillId="0" borderId="0" applyFont="0" applyFill="0" applyBorder="0" applyAlignment="0" applyProtection="0">
      <alignment vertical="top"/>
    </xf>
    <xf numFmtId="2" fontId="8" fillId="0" borderId="0" applyFont="0" applyFill="0" applyBorder="0" applyAlignment="0" applyProtection="0">
      <alignment vertical="top"/>
    </xf>
    <xf numFmtId="0" fontId="8" fillId="0" borderId="4" applyNumberFormat="0" applyFont="0" applyFill="0" applyAlignment="0" applyProtection="0">
      <alignment vertical="top"/>
    </xf>
    <xf numFmtId="43" fontId="7" fillId="0" borderId="0" applyFont="0" applyFill="0" applyBorder="0" applyAlignment="0" applyProtection="0"/>
    <xf numFmtId="5" fontId="7" fillId="0" borderId="0" applyFont="0" applyFill="0" applyBorder="0" applyAlignment="0" applyProtection="0"/>
    <xf numFmtId="0" fontId="8" fillId="0" borderId="0"/>
    <xf numFmtId="43" fontId="8" fillId="0" borderId="0" applyFont="0" applyFill="0" applyBorder="0" applyAlignment="0" applyProtection="0"/>
    <xf numFmtId="3" fontId="8" fillId="0" borderId="0" applyFont="0" applyFill="0" applyBorder="0" applyAlignment="0" applyProtection="0">
      <alignment vertical="top"/>
    </xf>
    <xf numFmtId="5" fontId="8" fillId="0" borderId="0" applyFont="0" applyFill="0" applyBorder="0" applyAlignment="0" applyProtection="0"/>
    <xf numFmtId="5" fontId="8" fillId="0" borderId="0" applyFont="0" applyFill="0" applyBorder="0" applyAlignment="0" applyProtection="0">
      <alignment vertical="top"/>
    </xf>
    <xf numFmtId="0" fontId="8" fillId="0" borderId="0" applyFont="0" applyFill="0" applyBorder="0" applyAlignment="0" applyProtection="0">
      <alignment vertical="top"/>
    </xf>
    <xf numFmtId="2" fontId="8" fillId="0" borderId="0" applyFont="0" applyFill="0" applyBorder="0" applyAlignment="0" applyProtection="0">
      <alignment vertical="top"/>
    </xf>
    <xf numFmtId="38" fontId="10" fillId="2" borderId="0" applyNumberFormat="0" applyBorder="0" applyAlignment="0" applyProtection="0"/>
    <xf numFmtId="0" fontId="12" fillId="0" borderId="0" applyNumberFormat="0" applyFill="0" applyBorder="0" applyAlignment="0" applyProtection="0">
      <alignment vertical="top"/>
    </xf>
    <xf numFmtId="0" fontId="13" fillId="0" borderId="0" applyNumberFormat="0" applyFill="0" applyBorder="0" applyAlignment="0" applyProtection="0">
      <alignment vertical="top"/>
    </xf>
    <xf numFmtId="10" fontId="10" fillId="3" borderId="3" applyNumberFormat="0" applyBorder="0" applyAlignment="0" applyProtection="0"/>
    <xf numFmtId="10" fontId="8" fillId="0" borderId="0" applyFont="0" applyFill="0" applyBorder="0" applyAlignment="0" applyProtection="0"/>
    <xf numFmtId="0" fontId="32" fillId="0" borderId="0"/>
    <xf numFmtId="0" fontId="8" fillId="0" borderId="4" applyNumberFormat="0" applyFont="0" applyFill="0" applyAlignment="0" applyProtection="0">
      <alignment vertical="top"/>
    </xf>
    <xf numFmtId="0" fontId="8" fillId="0" borderId="0"/>
    <xf numFmtId="10" fontId="8" fillId="0" borderId="0" applyFont="0" applyFill="0" applyBorder="0" applyAlignment="0" applyProtection="0"/>
    <xf numFmtId="0" fontId="7" fillId="0" borderId="0"/>
    <xf numFmtId="0" fontId="7" fillId="0" borderId="0"/>
    <xf numFmtId="5" fontId="7" fillId="0" borderId="0" applyFont="0" applyFill="0" applyBorder="0" applyAlignment="0" applyProtection="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7" fillId="0" borderId="0"/>
    <xf numFmtId="43" fontId="8" fillId="0" borderId="0" applyFont="0" applyFill="0" applyBorder="0" applyAlignment="0" applyProtection="0"/>
    <xf numFmtId="9" fontId="7" fillId="0" borderId="0" applyFont="0" applyFill="0" applyBorder="0" applyAlignment="0" applyProtection="0"/>
    <xf numFmtId="0" fontId="3" fillId="0" borderId="0"/>
    <xf numFmtId="0" fontId="7" fillId="0" borderId="0"/>
    <xf numFmtId="9" fontId="7" fillId="0" borderId="0" applyFont="0" applyFill="0" applyBorder="0" applyAlignment="0" applyProtection="0"/>
    <xf numFmtId="0" fontId="2" fillId="0" borderId="0"/>
    <xf numFmtId="0" fontId="36" fillId="0" borderId="0"/>
    <xf numFmtId="0" fontId="37" fillId="9" borderId="0"/>
    <xf numFmtId="0" fontId="38" fillId="0" borderId="0"/>
    <xf numFmtId="0" fontId="39" fillId="9" borderId="0"/>
    <xf numFmtId="0" fontId="37" fillId="9" borderId="0"/>
    <xf numFmtId="0" fontId="40" fillId="0" borderId="0"/>
    <xf numFmtId="0" fontId="40"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36" fillId="0" borderId="0"/>
    <xf numFmtId="0" fontId="38" fillId="0" borderId="0"/>
    <xf numFmtId="0" fontId="39" fillId="9" borderId="0"/>
    <xf numFmtId="0" fontId="41" fillId="0" borderId="0" applyNumberFormat="0" applyFill="0" applyBorder="0" applyAlignment="0" applyProtection="0"/>
    <xf numFmtId="0" fontId="42" fillId="0" borderId="120" applyNumberFormat="0" applyFill="0" applyAlignment="0" applyProtection="0"/>
    <xf numFmtId="0" fontId="42" fillId="0" borderId="0" applyNumberFormat="0" applyFill="0" applyBorder="0" applyAlignment="0" applyProtection="0"/>
    <xf numFmtId="0" fontId="43" fillId="10" borderId="0" applyNumberFormat="0" applyBorder="0" applyAlignment="0" applyProtection="0"/>
    <xf numFmtId="0" fontId="44" fillId="11" borderId="0" applyNumberFormat="0" applyBorder="0" applyAlignment="0" applyProtection="0"/>
    <xf numFmtId="0" fontId="45" fillId="12" borderId="0" applyNumberFormat="0" applyBorder="0" applyAlignment="0" applyProtection="0"/>
    <xf numFmtId="0" fontId="46" fillId="13" borderId="121" applyNumberFormat="0" applyAlignment="0" applyProtection="0"/>
    <xf numFmtId="0" fontId="47" fillId="14" borderId="122" applyNumberFormat="0" applyAlignment="0" applyProtection="0"/>
    <xf numFmtId="0" fontId="48" fillId="14" borderId="121" applyNumberFormat="0" applyAlignment="0" applyProtection="0"/>
    <xf numFmtId="0" fontId="49" fillId="0" borderId="123" applyNumberFormat="0" applyFill="0" applyAlignment="0" applyProtection="0"/>
    <xf numFmtId="0" fontId="50" fillId="15" borderId="12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5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53"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54" fillId="0" borderId="127" applyNumberFormat="0" applyFill="0" applyAlignment="0" applyProtection="0"/>
    <xf numFmtId="0" fontId="55" fillId="0" borderId="128" applyNumberFormat="0" applyFill="0" applyAlignment="0" applyProtection="0"/>
    <xf numFmtId="0" fontId="1" fillId="0" borderId="0"/>
    <xf numFmtId="0" fontId="1" fillId="16" borderId="125" applyNumberFormat="0" applyFont="0" applyAlignment="0" applyProtection="0"/>
    <xf numFmtId="0" fontId="56" fillId="0" borderId="129" applyNumberFormat="0" applyFill="0" applyAlignment="0" applyProtection="0"/>
    <xf numFmtId="0" fontId="1" fillId="0" borderId="0"/>
    <xf numFmtId="0" fontId="1" fillId="0" borderId="0"/>
    <xf numFmtId="0" fontId="58" fillId="0" borderId="0"/>
    <xf numFmtId="0" fontId="58" fillId="0" borderId="0"/>
  </cellStyleXfs>
  <cellXfs count="890">
    <xf numFmtId="0" fontId="0" fillId="0" borderId="0" xfId="0"/>
    <xf numFmtId="0" fontId="18" fillId="0" borderId="0" xfId="16" applyFont="1" applyBorder="1"/>
    <xf numFmtId="37" fontId="18" fillId="0" borderId="6" xfId="0" applyNumberFormat="1" applyFont="1" applyBorder="1"/>
    <xf numFmtId="165" fontId="18" fillId="0" borderId="0" xfId="1" applyNumberFormat="1" applyFont="1" applyFill="1" applyBorder="1" applyAlignment="1">
      <alignment vertical="center"/>
    </xf>
    <xf numFmtId="165" fontId="18" fillId="0" borderId="0" xfId="17" applyNumberFormat="1" applyFont="1" applyFill="1" applyBorder="1" applyAlignment="1">
      <alignment vertical="center"/>
    </xf>
    <xf numFmtId="165" fontId="16" fillId="0" borderId="0" xfId="1" applyNumberFormat="1" applyFont="1" applyFill="1" applyBorder="1" applyAlignment="1">
      <alignment vertical="center"/>
    </xf>
    <xf numFmtId="10" fontId="18" fillId="0" borderId="0" xfId="18" applyNumberFormat="1" applyFont="1" applyFill="1" applyBorder="1" applyAlignment="1">
      <alignment vertical="center"/>
    </xf>
    <xf numFmtId="0" fontId="18" fillId="0" borderId="0" xfId="16" applyFont="1" applyFill="1" applyBorder="1"/>
    <xf numFmtId="165" fontId="16" fillId="0" borderId="12" xfId="1" applyNumberFormat="1" applyFont="1" applyFill="1" applyBorder="1" applyAlignment="1">
      <alignment vertical="center"/>
    </xf>
    <xf numFmtId="0" fontId="16" fillId="0" borderId="0" xfId="17" applyFont="1" applyBorder="1" applyAlignment="1">
      <alignment horizontal="center" vertical="top" wrapText="1"/>
    </xf>
    <xf numFmtId="172" fontId="18" fillId="0" borderId="0" xfId="1" applyFont="1" applyBorder="1"/>
    <xf numFmtId="49" fontId="18" fillId="0" borderId="0" xfId="16" applyNumberFormat="1" applyFont="1" applyBorder="1"/>
    <xf numFmtId="49" fontId="18" fillId="0" borderId="0" xfId="16" applyNumberFormat="1" applyFont="1" applyBorder="1" applyAlignment="1">
      <alignment horizontal="center"/>
    </xf>
    <xf numFmtId="5" fontId="18" fillId="0" borderId="0" xfId="0" applyNumberFormat="1" applyFont="1" applyBorder="1"/>
    <xf numFmtId="49" fontId="18" fillId="0" borderId="0" xfId="16" applyNumberFormat="1" applyFont="1" applyFill="1" applyBorder="1" applyAlignment="1">
      <alignment horizontal="center"/>
    </xf>
    <xf numFmtId="0" fontId="18" fillId="0" borderId="0" xfId="0" applyFont="1" applyBorder="1"/>
    <xf numFmtId="0" fontId="18" fillId="0" borderId="0" xfId="0" applyFont="1"/>
    <xf numFmtId="37" fontId="18" fillId="0" borderId="0" xfId="0" applyNumberFormat="1" applyFont="1"/>
    <xf numFmtId="171" fontId="18" fillId="0" borderId="0" xfId="0" applyNumberFormat="1" applyFont="1"/>
    <xf numFmtId="5" fontId="18" fillId="0" borderId="6" xfId="17" applyNumberFormat="1" applyFont="1" applyFill="1" applyBorder="1"/>
    <xf numFmtId="5" fontId="18" fillId="0" borderId="6" xfId="1" applyNumberFormat="1" applyFont="1" applyFill="1" applyBorder="1"/>
    <xf numFmtId="5" fontId="18" fillId="0" borderId="18" xfId="1" applyNumberFormat="1" applyFont="1" applyFill="1" applyBorder="1" applyAlignment="1">
      <alignment horizontal="right"/>
    </xf>
    <xf numFmtId="5" fontId="16" fillId="0" borderId="18" xfId="1" applyNumberFormat="1" applyFont="1" applyFill="1" applyBorder="1" applyAlignment="1"/>
    <xf numFmtId="5" fontId="16" fillId="0" borderId="6" xfId="17" applyNumberFormat="1" applyFont="1" applyFill="1" applyBorder="1"/>
    <xf numFmtId="37" fontId="16" fillId="0" borderId="19" xfId="0" applyNumberFormat="1" applyFont="1" applyFill="1" applyBorder="1"/>
    <xf numFmtId="169" fontId="18" fillId="0" borderId="3" xfId="17" applyNumberFormat="1" applyFont="1" applyBorder="1" applyAlignment="1">
      <alignment vertical="center"/>
    </xf>
    <xf numFmtId="37" fontId="18" fillId="0" borderId="0" xfId="0" applyNumberFormat="1" applyFont="1" applyFill="1" applyBorder="1"/>
    <xf numFmtId="10" fontId="18" fillId="0" borderId="0" xfId="18" applyNumberFormat="1" applyFont="1" applyFill="1" applyBorder="1"/>
    <xf numFmtId="165" fontId="18" fillId="0" borderId="6" xfId="1" applyNumberFormat="1" applyFont="1" applyFill="1" applyBorder="1" applyAlignment="1">
      <alignment vertical="center"/>
    </xf>
    <xf numFmtId="37" fontId="18" fillId="0" borderId="7" xfId="0" applyNumberFormat="1" applyFont="1" applyBorder="1"/>
    <xf numFmtId="37" fontId="18" fillId="0" borderId="13" xfId="0" applyNumberFormat="1" applyFont="1" applyBorder="1"/>
    <xf numFmtId="37" fontId="18" fillId="0" borderId="5" xfId="0" applyNumberFormat="1" applyFont="1" applyBorder="1"/>
    <xf numFmtId="37" fontId="18" fillId="0" borderId="0" xfId="0" applyNumberFormat="1" applyFont="1" applyBorder="1"/>
    <xf numFmtId="37" fontId="16" fillId="0" borderId="8" xfId="0" applyNumberFormat="1" applyFont="1" applyFill="1" applyBorder="1"/>
    <xf numFmtId="37" fontId="16" fillId="0" borderId="12" xfId="0" applyNumberFormat="1" applyFont="1" applyFill="1" applyBorder="1"/>
    <xf numFmtId="37" fontId="16" fillId="0" borderId="5" xfId="0" applyNumberFormat="1" applyFont="1" applyFill="1" applyBorder="1"/>
    <xf numFmtId="37" fontId="16" fillId="0" borderId="0" xfId="0" applyNumberFormat="1" applyFont="1" applyFill="1" applyBorder="1"/>
    <xf numFmtId="37" fontId="18" fillId="0" borderId="5" xfId="0" applyNumberFormat="1" applyFont="1" applyFill="1" applyBorder="1"/>
    <xf numFmtId="5" fontId="18" fillId="0" borderId="22" xfId="4" applyFont="1" applyBorder="1" applyAlignment="1">
      <alignment vertical="center" wrapText="1"/>
    </xf>
    <xf numFmtId="5" fontId="16" fillId="0" borderId="23" xfId="4" applyFont="1" applyBorder="1" applyAlignment="1">
      <alignment vertical="center" wrapText="1"/>
    </xf>
    <xf numFmtId="0" fontId="16" fillId="0" borderId="0" xfId="0" applyFont="1" applyBorder="1" applyAlignment="1">
      <alignment horizontal="center"/>
    </xf>
    <xf numFmtId="0" fontId="16" fillId="0" borderId="0" xfId="0" applyNumberFormat="1" applyFont="1" applyBorder="1" applyAlignment="1">
      <alignment horizontal="center" wrapText="1"/>
    </xf>
    <xf numFmtId="37" fontId="18" fillId="0" borderId="6" xfId="0" applyNumberFormat="1" applyFont="1" applyFill="1" applyBorder="1"/>
    <xf numFmtId="0" fontId="18" fillId="0" borderId="0" xfId="0" applyFont="1" applyBorder="1" applyAlignment="1">
      <alignment horizontal="left" vertical="top" wrapText="1"/>
    </xf>
    <xf numFmtId="0" fontId="18" fillId="0" borderId="0" xfId="0" applyFont="1" applyBorder="1" applyAlignment="1">
      <alignment vertical="top" wrapText="1"/>
    </xf>
    <xf numFmtId="0" fontId="18" fillId="0" borderId="24" xfId="0" applyFont="1" applyFill="1" applyBorder="1" applyAlignment="1">
      <alignment vertical="top" wrapText="1"/>
    </xf>
    <xf numFmtId="37" fontId="16" fillId="0" borderId="8" xfId="0" applyNumberFormat="1" applyFont="1" applyBorder="1"/>
    <xf numFmtId="37" fontId="16" fillId="0" borderId="12" xfId="0" applyNumberFormat="1" applyFont="1" applyBorder="1"/>
    <xf numFmtId="5" fontId="16" fillId="0" borderId="6" xfId="1" applyNumberFormat="1" applyFont="1" applyFill="1" applyBorder="1"/>
    <xf numFmtId="0" fontId="18" fillId="0" borderId="25" xfId="0" applyFont="1" applyFill="1" applyBorder="1" applyAlignment="1">
      <alignment vertical="top" wrapText="1"/>
    </xf>
    <xf numFmtId="0" fontId="16" fillId="0" borderId="24" xfId="0" applyFont="1" applyFill="1" applyBorder="1" applyAlignment="1">
      <alignment horizontal="left" vertical="center" wrapText="1"/>
    </xf>
    <xf numFmtId="10" fontId="18" fillId="0" borderId="6" xfId="18" applyNumberFormat="1" applyFont="1" applyFill="1" applyBorder="1"/>
    <xf numFmtId="37" fontId="16" fillId="0" borderId="6" xfId="0" applyNumberFormat="1" applyFont="1" applyFill="1" applyBorder="1"/>
    <xf numFmtId="10" fontId="18" fillId="0" borderId="5" xfId="18" applyNumberFormat="1" applyFont="1" applyFill="1" applyBorder="1"/>
    <xf numFmtId="37" fontId="18" fillId="0" borderId="7" xfId="0" applyNumberFormat="1" applyFont="1" applyFill="1" applyBorder="1"/>
    <xf numFmtId="37" fontId="18" fillId="0" borderId="13" xfId="0" applyNumberFormat="1" applyFont="1" applyFill="1" applyBorder="1"/>
    <xf numFmtId="37" fontId="18" fillId="0" borderId="11" xfId="0" applyNumberFormat="1" applyFont="1" applyFill="1" applyBorder="1"/>
    <xf numFmtId="37" fontId="16" fillId="0" borderId="5" xfId="0" applyNumberFormat="1" applyFont="1" applyBorder="1"/>
    <xf numFmtId="37" fontId="16" fillId="0" borderId="0" xfId="0" applyNumberFormat="1" applyFont="1" applyBorder="1"/>
    <xf numFmtId="0" fontId="16" fillId="0" borderId="0" xfId="0" applyFont="1" applyBorder="1" applyAlignment="1">
      <alignment horizontal="center" vertical="center"/>
    </xf>
    <xf numFmtId="0" fontId="16" fillId="0" borderId="0" xfId="17" applyFont="1" applyBorder="1" applyAlignment="1">
      <alignment horizontal="center" vertical="center"/>
    </xf>
    <xf numFmtId="165" fontId="18" fillId="0" borderId="0" xfId="1" applyNumberFormat="1" applyFont="1" applyFill="1" applyBorder="1" applyAlignment="1">
      <alignment horizontal="right" vertical="center"/>
    </xf>
    <xf numFmtId="165" fontId="16" fillId="0" borderId="0" xfId="1" applyNumberFormat="1" applyFont="1" applyFill="1" applyBorder="1" applyAlignment="1">
      <alignment horizontal="right" vertical="center"/>
    </xf>
    <xf numFmtId="0" fontId="18" fillId="0" borderId="33" xfId="0" applyFont="1" applyFill="1" applyBorder="1" applyAlignment="1">
      <alignment horizontal="left" vertical="center" wrapText="1"/>
    </xf>
    <xf numFmtId="5" fontId="18" fillId="0" borderId="19" xfId="17" applyNumberFormat="1" applyFont="1" applyFill="1" applyBorder="1"/>
    <xf numFmtId="165" fontId="16" fillId="0" borderId="10" xfId="1" applyNumberFormat="1" applyFont="1" applyFill="1" applyBorder="1" applyAlignment="1">
      <alignment vertical="center"/>
    </xf>
    <xf numFmtId="5" fontId="16" fillId="0" borderId="10" xfId="17" applyNumberFormat="1" applyFont="1" applyFill="1" applyBorder="1"/>
    <xf numFmtId="5" fontId="18" fillId="0" borderId="22" xfId="4" applyFont="1" applyFill="1" applyBorder="1" applyAlignment="1">
      <alignment vertical="center" wrapText="1"/>
    </xf>
    <xf numFmtId="37" fontId="18" fillId="0" borderId="0" xfId="1" applyNumberFormat="1" applyFont="1" applyFill="1" applyBorder="1" applyAlignment="1">
      <alignment vertical="center"/>
    </xf>
    <xf numFmtId="37" fontId="18" fillId="0" borderId="0" xfId="17" applyNumberFormat="1" applyFont="1" applyFill="1" applyBorder="1" applyAlignment="1">
      <alignment vertical="center"/>
    </xf>
    <xf numFmtId="41" fontId="18" fillId="0" borderId="0" xfId="1" applyNumberFormat="1" applyFont="1" applyFill="1" applyBorder="1" applyAlignment="1">
      <alignment vertical="center"/>
    </xf>
    <xf numFmtId="3" fontId="16" fillId="0" borderId="2" xfId="17" applyNumberFormat="1" applyFont="1" applyFill="1" applyBorder="1" applyAlignment="1">
      <alignment horizontal="center" vertical="center" wrapText="1"/>
    </xf>
    <xf numFmtId="172" fontId="18" fillId="0" borderId="0" xfId="1" applyFont="1" applyFill="1" applyBorder="1" applyAlignment="1">
      <alignment vertical="center"/>
    </xf>
    <xf numFmtId="37" fontId="18" fillId="0" borderId="3" xfId="0" applyNumberFormat="1" applyFont="1" applyFill="1" applyBorder="1"/>
    <xf numFmtId="37" fontId="18" fillId="0" borderId="35" xfId="0" applyNumberFormat="1" applyFont="1" applyFill="1" applyBorder="1"/>
    <xf numFmtId="37" fontId="18" fillId="0" borderId="45" xfId="0" applyNumberFormat="1" applyFont="1" applyFill="1" applyBorder="1"/>
    <xf numFmtId="37" fontId="18" fillId="0" borderId="37" xfId="0" applyNumberFormat="1" applyFont="1" applyFill="1" applyBorder="1"/>
    <xf numFmtId="37" fontId="18" fillId="0" borderId="43" xfId="0" applyNumberFormat="1" applyFont="1" applyFill="1" applyBorder="1"/>
    <xf numFmtId="37" fontId="18" fillId="0" borderId="44" xfId="0" applyNumberFormat="1" applyFont="1" applyFill="1" applyBorder="1"/>
    <xf numFmtId="0" fontId="16" fillId="0" borderId="0" xfId="17" applyNumberFormat="1" applyFont="1" applyFill="1" applyBorder="1" applyAlignment="1">
      <alignment horizontal="center" vertical="center" wrapText="1"/>
    </xf>
    <xf numFmtId="0" fontId="16" fillId="0" borderId="9" xfId="0" applyNumberFormat="1" applyFont="1" applyBorder="1" applyAlignment="1">
      <alignment horizontal="center" vertical="center" wrapText="1"/>
    </xf>
    <xf numFmtId="0" fontId="16" fillId="0" borderId="2" xfId="0" applyNumberFormat="1" applyFont="1" applyBorder="1" applyAlignment="1">
      <alignment horizontal="center" vertical="center" wrapText="1"/>
    </xf>
    <xf numFmtId="0" fontId="16" fillId="0" borderId="10" xfId="0" applyNumberFormat="1" applyFont="1" applyBorder="1" applyAlignment="1">
      <alignment horizontal="center" vertical="center" wrapText="1"/>
    </xf>
    <xf numFmtId="0" fontId="18" fillId="0" borderId="14" xfId="0" applyFont="1" applyBorder="1" applyAlignment="1">
      <alignment vertical="center" wrapText="1"/>
    </xf>
    <xf numFmtId="0" fontId="16" fillId="0" borderId="14" xfId="0" applyFont="1" applyBorder="1" applyAlignment="1">
      <alignment horizontal="center" vertical="center" wrapText="1"/>
    </xf>
    <xf numFmtId="170" fontId="16" fillId="0" borderId="1" xfId="4" applyNumberFormat="1" applyFont="1" applyFill="1" applyBorder="1" applyAlignment="1">
      <alignment horizontal="center" vertical="center" wrapText="1"/>
    </xf>
    <xf numFmtId="5" fontId="16" fillId="0" borderId="14" xfId="4" applyFont="1" applyFill="1" applyBorder="1" applyAlignment="1">
      <alignment horizontal="center" vertical="center" wrapText="1"/>
    </xf>
    <xf numFmtId="165" fontId="18" fillId="0" borderId="15" xfId="1" applyNumberFormat="1" applyFont="1" applyFill="1" applyBorder="1" applyAlignment="1">
      <alignment vertical="center"/>
    </xf>
    <xf numFmtId="165" fontId="18" fillId="0" borderId="1" xfId="1" applyNumberFormat="1" applyFont="1" applyFill="1" applyBorder="1" applyAlignment="1">
      <alignment vertical="center"/>
    </xf>
    <xf numFmtId="165" fontId="18" fillId="0" borderId="14" xfId="1" applyNumberFormat="1" applyFont="1" applyFill="1" applyBorder="1" applyAlignment="1">
      <alignment vertical="center"/>
    </xf>
    <xf numFmtId="0" fontId="18" fillId="0" borderId="14" xfId="0" applyFont="1" applyBorder="1" applyAlignment="1">
      <alignment vertical="center"/>
    </xf>
    <xf numFmtId="0" fontId="16" fillId="0" borderId="14" xfId="0" applyFont="1" applyBorder="1" applyAlignment="1">
      <alignment horizontal="center" vertical="center"/>
    </xf>
    <xf numFmtId="5" fontId="18" fillId="0" borderId="0" xfId="4" applyNumberFormat="1" applyFont="1" applyFill="1" applyBorder="1" applyAlignment="1">
      <alignment vertical="center"/>
    </xf>
    <xf numFmtId="5" fontId="18" fillId="0" borderId="15" xfId="4" applyNumberFormat="1" applyFont="1" applyFill="1" applyBorder="1" applyAlignment="1">
      <alignment vertical="center"/>
    </xf>
    <xf numFmtId="5" fontId="18" fillId="0" borderId="1" xfId="4" applyNumberFormat="1" applyFont="1" applyFill="1" applyBorder="1" applyAlignment="1">
      <alignment vertical="center"/>
    </xf>
    <xf numFmtId="5" fontId="18" fillId="0" borderId="14" xfId="4" applyNumberFormat="1" applyFont="1" applyFill="1" applyBorder="1" applyAlignment="1">
      <alignment vertical="center"/>
    </xf>
    <xf numFmtId="165" fontId="18" fillId="0" borderId="0" xfId="1" applyNumberFormat="1" applyFont="1" applyFill="1" applyBorder="1" applyAlignment="1">
      <alignment vertical="center" wrapText="1"/>
    </xf>
    <xf numFmtId="165" fontId="18" fillId="0" borderId="15" xfId="4" applyNumberFormat="1" applyFont="1" applyFill="1" applyBorder="1" applyAlignment="1">
      <alignment vertical="center"/>
    </xf>
    <xf numFmtId="5" fontId="16" fillId="0" borderId="1" xfId="4" applyNumberFormat="1" applyFont="1" applyFill="1" applyBorder="1" applyAlignment="1">
      <alignment vertical="center"/>
    </xf>
    <xf numFmtId="5" fontId="16" fillId="0" borderId="14" xfId="4" applyNumberFormat="1" applyFont="1" applyFill="1" applyBorder="1" applyAlignment="1">
      <alignment vertical="center"/>
    </xf>
    <xf numFmtId="5" fontId="23" fillId="0" borderId="0" xfId="22" applyFont="1"/>
    <xf numFmtId="10" fontId="18" fillId="0" borderId="0" xfId="18" applyFont="1"/>
    <xf numFmtId="164" fontId="18" fillId="0" borderId="0" xfId="18" applyNumberFormat="1" applyFont="1"/>
    <xf numFmtId="10" fontId="18" fillId="0" borderId="0" xfId="0" applyNumberFormat="1" applyFont="1"/>
    <xf numFmtId="164" fontId="18" fillId="0" borderId="0" xfId="18" applyNumberFormat="1" applyFont="1" applyBorder="1"/>
    <xf numFmtId="166" fontId="18" fillId="0" borderId="0" xfId="18" applyNumberFormat="1" applyFont="1"/>
    <xf numFmtId="173" fontId="18" fillId="0" borderId="0" xfId="0" applyNumberFormat="1" applyFont="1"/>
    <xf numFmtId="173" fontId="18" fillId="0" borderId="0" xfId="0" applyNumberFormat="1" applyFont="1" applyBorder="1"/>
    <xf numFmtId="0" fontId="16" fillId="0" borderId="0" xfId="0" applyFont="1" applyAlignment="1">
      <alignment horizontal="center" vertical="center" wrapText="1"/>
    </xf>
    <xf numFmtId="166" fontId="18" fillId="0" borderId="0" xfId="18" applyNumberFormat="1" applyFont="1" applyBorder="1"/>
    <xf numFmtId="0" fontId="18" fillId="0" borderId="0" xfId="0" applyFont="1" applyAlignment="1">
      <alignment wrapText="1"/>
    </xf>
    <xf numFmtId="172" fontId="18" fillId="0" borderId="0" xfId="1" applyFont="1" applyAlignment="1">
      <alignment wrapText="1"/>
    </xf>
    <xf numFmtId="0" fontId="18" fillId="0" borderId="12" xfId="0" applyFont="1" applyBorder="1"/>
    <xf numFmtId="14" fontId="18" fillId="0" borderId="0" xfId="0" applyNumberFormat="1" applyFont="1" applyAlignment="1">
      <alignment wrapText="1"/>
    </xf>
    <xf numFmtId="173" fontId="18" fillId="0" borderId="13" xfId="0" applyNumberFormat="1" applyFont="1" applyBorder="1"/>
    <xf numFmtId="0" fontId="18" fillId="0" borderId="13" xfId="0" applyFont="1" applyBorder="1"/>
    <xf numFmtId="0" fontId="18" fillId="0" borderId="3" xfId="0" applyFont="1" applyBorder="1"/>
    <xf numFmtId="0" fontId="18" fillId="0" borderId="3" xfId="0" applyFont="1" applyBorder="1" applyAlignment="1">
      <alignment horizontal="center" vertical="center"/>
    </xf>
    <xf numFmtId="0" fontId="18" fillId="0" borderId="17" xfId="0" applyFont="1" applyBorder="1" applyAlignment="1">
      <alignment horizontal="center" vertical="center"/>
    </xf>
    <xf numFmtId="166" fontId="18" fillId="0" borderId="13" xfId="18" applyNumberFormat="1" applyFont="1" applyBorder="1"/>
    <xf numFmtId="172" fontId="18" fillId="0" borderId="11" xfId="1" applyFont="1" applyBorder="1"/>
    <xf numFmtId="172" fontId="18" fillId="0" borderId="3" xfId="1" applyFont="1" applyBorder="1"/>
    <xf numFmtId="37" fontId="18" fillId="0" borderId="3" xfId="0" applyNumberFormat="1" applyFont="1" applyBorder="1"/>
    <xf numFmtId="172" fontId="18" fillId="0" borderId="3" xfId="0" applyNumberFormat="1" applyFont="1" applyBorder="1"/>
    <xf numFmtId="10" fontId="18" fillId="0" borderId="3" xfId="18" applyFont="1" applyBorder="1"/>
    <xf numFmtId="172" fontId="16" fillId="0" borderId="3" xfId="1" applyFont="1" applyBorder="1"/>
    <xf numFmtId="172" fontId="16" fillId="0" borderId="20" xfId="1" applyFont="1" applyBorder="1"/>
    <xf numFmtId="172" fontId="18" fillId="0" borderId="20" xfId="1" applyFont="1" applyBorder="1"/>
    <xf numFmtId="0" fontId="24" fillId="0" borderId="0" xfId="13" applyFont="1" applyAlignment="1" applyProtection="1"/>
    <xf numFmtId="0" fontId="18" fillId="0" borderId="43" xfId="0" applyFont="1" applyBorder="1"/>
    <xf numFmtId="165" fontId="18" fillId="0" borderId="0" xfId="0" applyNumberFormat="1" applyFont="1"/>
    <xf numFmtId="17" fontId="18" fillId="0" borderId="0" xfId="0" applyNumberFormat="1" applyFont="1"/>
    <xf numFmtId="165" fontId="18" fillId="0" borderId="34" xfId="0" applyNumberFormat="1" applyFont="1" applyBorder="1"/>
    <xf numFmtId="165" fontId="18" fillId="0" borderId="3" xfId="0" applyNumberFormat="1" applyFont="1" applyBorder="1"/>
    <xf numFmtId="165" fontId="18" fillId="0" borderId="36" xfId="0" applyNumberFormat="1" applyFont="1" applyBorder="1"/>
    <xf numFmtId="165" fontId="18" fillId="0" borderId="45" xfId="0" applyNumberFormat="1" applyFont="1" applyBorder="1"/>
    <xf numFmtId="0" fontId="18" fillId="0" borderId="45" xfId="0" applyFont="1" applyBorder="1"/>
    <xf numFmtId="165" fontId="18" fillId="0" borderId="42" xfId="0" applyNumberFormat="1" applyFont="1" applyBorder="1"/>
    <xf numFmtId="165" fontId="18" fillId="0" borderId="43" xfId="0" applyNumberFormat="1" applyFont="1" applyBorder="1"/>
    <xf numFmtId="165" fontId="18" fillId="0" borderId="46" xfId="0" applyNumberFormat="1" applyFont="1" applyBorder="1"/>
    <xf numFmtId="0" fontId="18" fillId="0" borderId="34" xfId="0" applyFont="1" applyBorder="1"/>
    <xf numFmtId="0" fontId="18" fillId="0" borderId="35" xfId="0" applyFont="1" applyBorder="1"/>
    <xf numFmtId="173" fontId="18" fillId="0" borderId="10" xfId="0" applyNumberFormat="1" applyFont="1" applyBorder="1"/>
    <xf numFmtId="166" fontId="18" fillId="0" borderId="3" xfId="18" applyNumberFormat="1" applyFont="1" applyBorder="1"/>
    <xf numFmtId="172" fontId="18" fillId="0" borderId="35" xfId="1" applyFont="1" applyBorder="1"/>
    <xf numFmtId="0" fontId="18" fillId="0" borderId="36" xfId="0" applyFont="1" applyBorder="1"/>
    <xf numFmtId="0" fontId="18" fillId="0" borderId="37" xfId="0" applyFont="1" applyBorder="1"/>
    <xf numFmtId="173" fontId="18" fillId="0" borderId="47" xfId="0" applyNumberFormat="1" applyFont="1" applyBorder="1"/>
    <xf numFmtId="166" fontId="18" fillId="0" borderId="45" xfId="18" applyNumberFormat="1" applyFont="1" applyBorder="1"/>
    <xf numFmtId="172" fontId="18" fillId="0" borderId="37" xfId="1" applyFont="1" applyBorder="1"/>
    <xf numFmtId="0" fontId="18" fillId="0" borderId="0" xfId="0" applyFont="1" applyFill="1"/>
    <xf numFmtId="173" fontId="18" fillId="0" borderId="0" xfId="0" applyNumberFormat="1" applyFont="1" applyFill="1" applyBorder="1"/>
    <xf numFmtId="166" fontId="18" fillId="0" borderId="0" xfId="18" applyNumberFormat="1" applyFont="1" applyFill="1" applyBorder="1"/>
    <xf numFmtId="172" fontId="18" fillId="0" borderId="0" xfId="1" applyFont="1" applyFill="1" applyBorder="1"/>
    <xf numFmtId="0" fontId="18" fillId="0" borderId="0" xfId="0" applyFont="1" applyFill="1" applyBorder="1"/>
    <xf numFmtId="0" fontId="18" fillId="0" borderId="0" xfId="17" applyFont="1" applyFill="1" applyBorder="1" applyAlignment="1">
      <alignment horizontal="left" vertical="center"/>
    </xf>
    <xf numFmtId="10" fontId="18" fillId="0" borderId="0" xfId="18" applyFont="1" applyFill="1" applyBorder="1" applyAlignment="1">
      <alignment horizontal="left" vertical="center"/>
    </xf>
    <xf numFmtId="0" fontId="18" fillId="0" borderId="0" xfId="0" applyFont="1" applyFill="1" applyBorder="1" applyAlignment="1">
      <alignment horizontal="left" wrapText="1"/>
    </xf>
    <xf numFmtId="173" fontId="18" fillId="0" borderId="0" xfId="0" applyNumberFormat="1" applyFont="1" applyFill="1"/>
    <xf numFmtId="37" fontId="18" fillId="0" borderId="0" xfId="0" applyNumberFormat="1" applyFont="1" applyFill="1" applyBorder="1" applyAlignment="1">
      <alignment horizontal="left" wrapText="1"/>
    </xf>
    <xf numFmtId="166" fontId="18" fillId="0" borderId="0" xfId="18" applyNumberFormat="1" applyFont="1" applyFill="1" applyBorder="1" applyAlignment="1">
      <alignment horizontal="left" wrapText="1"/>
    </xf>
    <xf numFmtId="0" fontId="18" fillId="0" borderId="0" xfId="17" applyFont="1"/>
    <xf numFmtId="0" fontId="18" fillId="0" borderId="0" xfId="17" applyFont="1" applyFill="1" applyBorder="1"/>
    <xf numFmtId="165" fontId="18" fillId="0" borderId="0" xfId="1" applyNumberFormat="1" applyFont="1"/>
    <xf numFmtId="165" fontId="18" fillId="0" borderId="0" xfId="17" applyNumberFormat="1" applyFont="1"/>
    <xf numFmtId="172" fontId="18" fillId="0" borderId="0" xfId="1" applyFont="1"/>
    <xf numFmtId="5" fontId="18" fillId="0" borderId="0" xfId="17" applyNumberFormat="1" applyFont="1"/>
    <xf numFmtId="5" fontId="18" fillId="0" borderId="0" xfId="4" applyFont="1" applyFill="1" applyBorder="1"/>
    <xf numFmtId="165" fontId="18" fillId="0" borderId="0" xfId="0" applyNumberFormat="1" applyFont="1" applyBorder="1"/>
    <xf numFmtId="0" fontId="18" fillId="0" borderId="0" xfId="17" applyFont="1" applyBorder="1"/>
    <xf numFmtId="167" fontId="18" fillId="0" borderId="0" xfId="17" applyNumberFormat="1" applyFont="1"/>
    <xf numFmtId="10" fontId="18" fillId="0" borderId="0" xfId="18" applyNumberFormat="1" applyFont="1" applyBorder="1"/>
    <xf numFmtId="10" fontId="18" fillId="0" borderId="0" xfId="17" applyNumberFormat="1" applyFont="1" applyBorder="1"/>
    <xf numFmtId="0" fontId="18" fillId="0" borderId="0" xfId="17" applyFont="1" applyFill="1"/>
    <xf numFmtId="5" fontId="18" fillId="0" borderId="0" xfId="4" applyFont="1"/>
    <xf numFmtId="5" fontId="18" fillId="0" borderId="0" xfId="0" applyNumberFormat="1" applyFont="1"/>
    <xf numFmtId="0" fontId="18" fillId="0" borderId="0" xfId="0" applyNumberFormat="1" applyFont="1"/>
    <xf numFmtId="0" fontId="25" fillId="0" borderId="0" xfId="0" applyFont="1"/>
    <xf numFmtId="172" fontId="18" fillId="0" borderId="0" xfId="0" applyNumberFormat="1" applyFont="1"/>
    <xf numFmtId="0" fontId="18" fillId="0" borderId="0" xfId="17" applyFont="1" applyFill="1" applyBorder="1" applyAlignment="1">
      <alignment vertical="center" wrapText="1"/>
    </xf>
    <xf numFmtId="0" fontId="18" fillId="0" borderId="0" xfId="0" applyFont="1" applyAlignment="1">
      <alignment vertical="top"/>
    </xf>
    <xf numFmtId="165" fontId="18" fillId="0" borderId="0" xfId="1" applyNumberFormat="1" applyFont="1" applyFill="1"/>
    <xf numFmtId="10" fontId="18" fillId="0" borderId="0" xfId="18" applyFont="1" applyFill="1"/>
    <xf numFmtId="0" fontId="18" fillId="0" borderId="0" xfId="17" applyFont="1" applyAlignment="1">
      <alignment vertical="center"/>
    </xf>
    <xf numFmtId="165" fontId="18" fillId="0" borderId="0" xfId="17" applyNumberFormat="1" applyFont="1" applyAlignment="1">
      <alignment vertical="center"/>
    </xf>
    <xf numFmtId="0" fontId="18" fillId="0" borderId="0" xfId="17" applyFont="1" applyFill="1" applyAlignment="1">
      <alignment vertical="center"/>
    </xf>
    <xf numFmtId="165" fontId="18" fillId="0" borderId="0" xfId="17" applyNumberFormat="1" applyFont="1" applyFill="1" applyAlignment="1">
      <alignment vertical="center"/>
    </xf>
    <xf numFmtId="37" fontId="18" fillId="0" borderId="0" xfId="17" applyNumberFormat="1" applyFont="1" applyFill="1" applyAlignment="1">
      <alignment vertical="center"/>
    </xf>
    <xf numFmtId="37" fontId="18" fillId="0" borderId="0" xfId="17" applyNumberFormat="1" applyFont="1" applyAlignment="1">
      <alignment vertical="center"/>
    </xf>
    <xf numFmtId="165" fontId="16" fillId="0" borderId="0" xfId="17" applyNumberFormat="1" applyFont="1" applyAlignment="1">
      <alignment vertical="center"/>
    </xf>
    <xf numFmtId="0" fontId="16" fillId="0" borderId="0" xfId="17" applyFont="1" applyFill="1" applyAlignment="1">
      <alignment vertical="center"/>
    </xf>
    <xf numFmtId="165" fontId="16" fillId="0" borderId="0" xfId="17" applyNumberFormat="1" applyFont="1" applyFill="1" applyAlignment="1">
      <alignment vertical="center"/>
    </xf>
    <xf numFmtId="10" fontId="18" fillId="0" borderId="0" xfId="18" applyFont="1" applyAlignment="1">
      <alignment vertical="center"/>
    </xf>
    <xf numFmtId="10" fontId="18" fillId="0" borderId="0" xfId="18" applyFont="1" applyFill="1" applyAlignment="1">
      <alignment vertical="center"/>
    </xf>
    <xf numFmtId="166" fontId="18" fillId="0" borderId="0" xfId="18" applyNumberFormat="1" applyFont="1" applyFill="1" applyAlignment="1">
      <alignment vertical="center"/>
    </xf>
    <xf numFmtId="0" fontId="18" fillId="0" borderId="0" xfId="0" applyFont="1" applyBorder="1" applyAlignment="1">
      <alignment vertical="center" wrapText="1"/>
    </xf>
    <xf numFmtId="0" fontId="18" fillId="0" borderId="0" xfId="0" applyFont="1" applyAlignment="1">
      <alignment vertical="center" wrapText="1"/>
    </xf>
    <xf numFmtId="10" fontId="18" fillId="0" borderId="0" xfId="18" applyFont="1" applyAlignment="1">
      <alignment vertical="center" wrapText="1"/>
    </xf>
    <xf numFmtId="0" fontId="18" fillId="0" borderId="0" xfId="0" applyFont="1" applyFill="1" applyAlignment="1">
      <alignment vertical="center" wrapText="1"/>
    </xf>
    <xf numFmtId="0" fontId="18" fillId="0" borderId="15" xfId="0" applyFont="1" applyBorder="1" applyAlignment="1">
      <alignment vertical="center" wrapText="1"/>
    </xf>
    <xf numFmtId="5" fontId="18" fillId="0" borderId="15" xfId="4" applyNumberFormat="1" applyFont="1" applyFill="1" applyBorder="1" applyAlignment="1">
      <alignment vertical="center" wrapText="1"/>
    </xf>
    <xf numFmtId="0" fontId="16" fillId="0" borderId="14" xfId="0" applyFont="1" applyBorder="1" applyAlignment="1">
      <alignment vertical="center" wrapText="1"/>
    </xf>
    <xf numFmtId="5" fontId="18" fillId="0" borderId="1" xfId="4" applyNumberFormat="1" applyFont="1" applyFill="1" applyBorder="1" applyAlignment="1">
      <alignment vertical="center" wrapText="1"/>
    </xf>
    <xf numFmtId="5" fontId="18" fillId="0" borderId="14" xfId="4" applyNumberFormat="1" applyFont="1" applyFill="1" applyBorder="1" applyAlignment="1">
      <alignment vertical="center" wrapText="1"/>
    </xf>
    <xf numFmtId="5" fontId="18" fillId="0" borderId="0" xfId="0" applyNumberFormat="1" applyFont="1" applyAlignment="1">
      <alignment vertical="center" wrapText="1"/>
    </xf>
    <xf numFmtId="0" fontId="18" fillId="0" borderId="15" xfId="0" applyFont="1" applyFill="1" applyBorder="1" applyAlignment="1">
      <alignment vertical="center" wrapText="1"/>
    </xf>
    <xf numFmtId="0" fontId="16" fillId="0" borderId="15" xfId="0" applyFont="1" applyFill="1" applyBorder="1" applyAlignment="1">
      <alignment vertical="center" wrapText="1"/>
    </xf>
    <xf numFmtId="165" fontId="18" fillId="0" borderId="15" xfId="4" applyNumberFormat="1" applyFont="1" applyFill="1" applyBorder="1" applyAlignment="1">
      <alignment vertical="center" wrapText="1"/>
    </xf>
    <xf numFmtId="0" fontId="16" fillId="0" borderId="0" xfId="0" applyFont="1" applyFill="1" applyAlignment="1">
      <alignment vertical="center" wrapText="1"/>
    </xf>
    <xf numFmtId="5" fontId="16" fillId="0" borderId="1" xfId="4" applyNumberFormat="1" applyFont="1" applyFill="1" applyBorder="1" applyAlignment="1">
      <alignment vertical="center" wrapText="1"/>
    </xf>
    <xf numFmtId="5" fontId="16" fillId="0" borderId="14" xfId="4" applyNumberFormat="1" applyFont="1" applyFill="1" applyBorder="1" applyAlignment="1">
      <alignment vertical="center" wrapText="1"/>
    </xf>
    <xf numFmtId="167" fontId="18" fillId="0" borderId="0" xfId="0" applyNumberFormat="1" applyFont="1" applyAlignment="1">
      <alignment vertical="center" wrapText="1"/>
    </xf>
    <xf numFmtId="5" fontId="18" fillId="0" borderId="0" xfId="4" applyFont="1" applyBorder="1" applyAlignment="1">
      <alignment vertical="center"/>
    </xf>
    <xf numFmtId="5" fontId="18" fillId="0" borderId="0" xfId="4" applyFont="1" applyBorder="1" applyAlignment="1">
      <alignment vertical="center" wrapText="1"/>
    </xf>
    <xf numFmtId="5" fontId="18" fillId="0" borderId="0" xfId="4" applyFont="1" applyAlignment="1">
      <alignment vertical="center" wrapText="1"/>
    </xf>
    <xf numFmtId="5" fontId="18" fillId="0" borderId="0" xfId="4" applyFont="1" applyAlignment="1">
      <alignment vertical="center"/>
    </xf>
    <xf numFmtId="5" fontId="18" fillId="0" borderId="0" xfId="4" applyNumberFormat="1" applyFont="1" applyAlignment="1">
      <alignment vertical="center" wrapText="1"/>
    </xf>
    <xf numFmtId="7" fontId="18" fillId="0" borderId="0" xfId="0" applyNumberFormat="1" applyFont="1" applyAlignment="1">
      <alignment vertical="center" wrapText="1"/>
    </xf>
    <xf numFmtId="175" fontId="18" fillId="0" borderId="0" xfId="0" applyNumberFormat="1" applyFont="1" applyAlignment="1">
      <alignment vertical="center" wrapText="1"/>
    </xf>
    <xf numFmtId="165" fontId="18" fillId="0" borderId="0" xfId="0" applyNumberFormat="1" applyFont="1" applyAlignment="1">
      <alignment vertical="center" wrapText="1"/>
    </xf>
    <xf numFmtId="6" fontId="18" fillId="0" borderId="0" xfId="0" applyNumberFormat="1" applyFont="1" applyAlignment="1">
      <alignment vertical="center" wrapText="1"/>
    </xf>
    <xf numFmtId="165" fontId="18" fillId="0" borderId="13" xfId="1" applyNumberFormat="1" applyFont="1" applyFill="1" applyBorder="1" applyAlignment="1">
      <alignment vertical="center"/>
    </xf>
    <xf numFmtId="37" fontId="18" fillId="0" borderId="13" xfId="1" applyNumberFormat="1" applyFont="1" applyFill="1" applyBorder="1" applyAlignment="1">
      <alignment vertical="center"/>
    </xf>
    <xf numFmtId="37" fontId="18" fillId="0" borderId="0" xfId="1" applyNumberFormat="1" applyFont="1" applyBorder="1" applyAlignment="1">
      <alignment vertical="center"/>
    </xf>
    <xf numFmtId="0" fontId="16" fillId="0" borderId="53" xfId="17" applyFont="1" applyBorder="1" applyAlignment="1">
      <alignment horizontal="center" vertical="center"/>
    </xf>
    <xf numFmtId="0" fontId="16" fillId="0" borderId="54" xfId="17" applyFont="1" applyFill="1" applyBorder="1" applyAlignment="1">
      <alignment horizontal="center" vertical="center"/>
    </xf>
    <xf numFmtId="169" fontId="18" fillId="0" borderId="24" xfId="17" applyNumberFormat="1" applyFont="1" applyBorder="1" applyAlignment="1">
      <alignment vertical="center"/>
    </xf>
    <xf numFmtId="165" fontId="18" fillId="0" borderId="22" xfId="1" applyNumberFormat="1" applyFont="1" applyFill="1" applyBorder="1" applyAlignment="1">
      <alignment horizontal="right" vertical="center"/>
    </xf>
    <xf numFmtId="0" fontId="16" fillId="0" borderId="55" xfId="17" applyFont="1" applyFill="1" applyBorder="1" applyAlignment="1">
      <alignment vertical="center"/>
    </xf>
    <xf numFmtId="165" fontId="16" fillId="0" borderId="56" xfId="1" applyNumberFormat="1" applyFont="1" applyFill="1" applyBorder="1" applyAlignment="1">
      <alignment horizontal="right" vertical="center"/>
    </xf>
    <xf numFmtId="169" fontId="16" fillId="0" borderId="55" xfId="17" applyNumberFormat="1" applyFont="1" applyBorder="1" applyAlignment="1">
      <alignment vertical="center"/>
    </xf>
    <xf numFmtId="165" fontId="16" fillId="0" borderId="56" xfId="1" applyNumberFormat="1" applyFont="1" applyFill="1" applyBorder="1" applyAlignment="1">
      <alignment vertical="center"/>
    </xf>
    <xf numFmtId="169" fontId="18" fillId="0" borderId="57" xfId="17" applyNumberFormat="1" applyFont="1" applyBorder="1" applyAlignment="1">
      <alignment vertical="center"/>
    </xf>
    <xf numFmtId="165" fontId="18" fillId="0" borderId="58" xfId="1" applyNumberFormat="1" applyFont="1" applyFill="1" applyBorder="1" applyAlignment="1">
      <alignment horizontal="right" vertical="center"/>
    </xf>
    <xf numFmtId="0" fontId="16" fillId="0" borderId="24" xfId="17" applyFont="1" applyFill="1" applyBorder="1" applyAlignment="1">
      <alignment wrapText="1"/>
    </xf>
    <xf numFmtId="165" fontId="16" fillId="0" borderId="22" xfId="1" applyNumberFormat="1" applyFont="1" applyFill="1" applyBorder="1" applyAlignment="1">
      <alignment vertical="center"/>
    </xf>
    <xf numFmtId="0" fontId="18" fillId="0" borderId="24" xfId="17" applyFont="1" applyFill="1" applyBorder="1" applyAlignment="1">
      <alignment vertical="center"/>
    </xf>
    <xf numFmtId="0" fontId="16" fillId="0" borderId="34" xfId="17" applyFont="1" applyFill="1" applyBorder="1" applyAlignment="1">
      <alignment vertical="center"/>
    </xf>
    <xf numFmtId="0" fontId="18" fillId="0" borderId="63" xfId="17" applyFont="1" applyFill="1" applyBorder="1" applyAlignment="1">
      <alignment vertical="center" wrapText="1"/>
    </xf>
    <xf numFmtId="0" fontId="16" fillId="0" borderId="16" xfId="17" applyFont="1" applyBorder="1" applyAlignment="1">
      <alignment horizontal="center" vertical="center" wrapText="1"/>
    </xf>
    <xf numFmtId="0" fontId="18" fillId="0" borderId="64" xfId="17" applyFont="1" applyBorder="1" applyAlignment="1">
      <alignment horizontal="center" vertical="center" wrapText="1"/>
    </xf>
    <xf numFmtId="0" fontId="18" fillId="0" borderId="16" xfId="17" applyFont="1" applyBorder="1" applyAlignment="1">
      <alignment horizontal="center" vertical="center" wrapText="1"/>
    </xf>
    <xf numFmtId="0" fontId="18" fillId="0" borderId="63" xfId="17" applyFont="1" applyFill="1" applyBorder="1" applyAlignment="1">
      <alignment vertical="center"/>
    </xf>
    <xf numFmtId="5" fontId="18" fillId="0" borderId="22" xfId="17" applyNumberFormat="1" applyFont="1" applyFill="1" applyBorder="1"/>
    <xf numFmtId="0" fontId="18" fillId="0" borderId="38" xfId="17" applyFont="1" applyFill="1" applyBorder="1" applyAlignment="1">
      <alignment vertical="center"/>
    </xf>
    <xf numFmtId="0" fontId="16" fillId="0" borderId="65" xfId="17" applyFont="1" applyFill="1" applyBorder="1" applyAlignment="1">
      <alignment vertical="center" wrapText="1"/>
    </xf>
    <xf numFmtId="5" fontId="16" fillId="0" borderId="66" xfId="17" applyNumberFormat="1" applyFont="1" applyFill="1" applyBorder="1"/>
    <xf numFmtId="5" fontId="18" fillId="0" borderId="0" xfId="1" applyNumberFormat="1" applyFont="1" applyFill="1" applyBorder="1" applyAlignment="1">
      <alignment horizontal="right"/>
    </xf>
    <xf numFmtId="0" fontId="18" fillId="0" borderId="69" xfId="17" applyFont="1" applyBorder="1" applyAlignment="1">
      <alignment horizontal="center" vertical="top"/>
    </xf>
    <xf numFmtId="0" fontId="18" fillId="0" borderId="63" xfId="17" applyFont="1" applyBorder="1" applyAlignment="1">
      <alignment vertical="center"/>
    </xf>
    <xf numFmtId="165" fontId="18" fillId="0" borderId="70" xfId="1" applyNumberFormat="1" applyFont="1" applyFill="1" applyBorder="1" applyAlignment="1">
      <alignment vertical="center"/>
    </xf>
    <xf numFmtId="0" fontId="18" fillId="0" borderId="38" xfId="17" applyFont="1" applyBorder="1" applyAlignment="1">
      <alignment vertical="center"/>
    </xf>
    <xf numFmtId="0" fontId="18" fillId="0" borderId="65" xfId="17" applyFont="1" applyFill="1" applyBorder="1" applyAlignment="1">
      <alignment vertical="center" wrapText="1"/>
    </xf>
    <xf numFmtId="0" fontId="18" fillId="0" borderId="62" xfId="17" applyFont="1" applyBorder="1" applyAlignment="1">
      <alignment horizontal="center" vertical="top"/>
    </xf>
    <xf numFmtId="0" fontId="16" fillId="0" borderId="71" xfId="17" applyFont="1" applyBorder="1" applyAlignment="1">
      <alignment horizontal="center" vertical="top" wrapText="1"/>
    </xf>
    <xf numFmtId="0" fontId="16" fillId="0" borderId="63" xfId="17" applyFont="1" applyBorder="1" applyAlignment="1">
      <alignment vertical="center"/>
    </xf>
    <xf numFmtId="5" fontId="16" fillId="0" borderId="22" xfId="17" applyNumberFormat="1" applyFont="1" applyFill="1" applyBorder="1"/>
    <xf numFmtId="0" fontId="16" fillId="0" borderId="65" xfId="17" applyFont="1" applyBorder="1" applyAlignment="1">
      <alignment vertical="center" wrapText="1"/>
    </xf>
    <xf numFmtId="5" fontId="18" fillId="0" borderId="66" xfId="17" applyNumberFormat="1" applyFont="1" applyFill="1" applyBorder="1"/>
    <xf numFmtId="5" fontId="18" fillId="0" borderId="32" xfId="17" applyNumberFormat="1" applyFont="1" applyFill="1" applyBorder="1"/>
    <xf numFmtId="0" fontId="18" fillId="0" borderId="0" xfId="17" applyFont="1" applyFill="1" applyBorder="1" applyAlignment="1">
      <alignment horizontal="left" vertical="center" wrapText="1"/>
    </xf>
    <xf numFmtId="37" fontId="18" fillId="5" borderId="15" xfId="1" applyNumberFormat="1" applyFont="1" applyFill="1" applyBorder="1" applyAlignment="1">
      <alignment horizontal="right" vertical="center"/>
    </xf>
    <xf numFmtId="165" fontId="18" fillId="0" borderId="0" xfId="18" applyNumberFormat="1" applyFont="1" applyFill="1" applyBorder="1" applyAlignment="1">
      <alignment vertical="center"/>
    </xf>
    <xf numFmtId="37" fontId="18" fillId="0" borderId="15" xfId="1" applyNumberFormat="1" applyFont="1" applyFill="1" applyBorder="1" applyAlignment="1">
      <alignment horizontal="right" vertical="center"/>
    </xf>
    <xf numFmtId="37" fontId="18" fillId="0" borderId="15" xfId="1" applyNumberFormat="1" applyFont="1" applyFill="1" applyBorder="1" applyAlignment="1">
      <alignment vertical="center"/>
    </xf>
    <xf numFmtId="0" fontId="28" fillId="0" borderId="3" xfId="0" applyFont="1" applyBorder="1"/>
    <xf numFmtId="0" fontId="28" fillId="0" borderId="45" xfId="0" applyFont="1" applyBorder="1"/>
    <xf numFmtId="0" fontId="28" fillId="0" borderId="0" xfId="0" applyFont="1"/>
    <xf numFmtId="0" fontId="28" fillId="0" borderId="43" xfId="0" applyFont="1" applyBorder="1"/>
    <xf numFmtId="37" fontId="28" fillId="0" borderId="0" xfId="0" applyNumberFormat="1" applyFont="1" applyBorder="1"/>
    <xf numFmtId="37" fontId="28" fillId="0" borderId="3" xfId="0" applyNumberFormat="1" applyFont="1" applyBorder="1"/>
    <xf numFmtId="37" fontId="28" fillId="0" borderId="45" xfId="0" applyNumberFormat="1" applyFont="1" applyBorder="1"/>
    <xf numFmtId="5" fontId="18" fillId="0" borderId="18" xfId="17" applyNumberFormat="1" applyFont="1" applyFill="1" applyBorder="1"/>
    <xf numFmtId="0" fontId="16" fillId="0" borderId="29" xfId="17" applyFont="1" applyBorder="1" applyAlignment="1">
      <alignment horizontal="center" vertical="center"/>
    </xf>
    <xf numFmtId="3" fontId="16" fillId="0" borderId="1" xfId="17" applyNumberFormat="1" applyFont="1" applyFill="1" applyBorder="1" applyAlignment="1">
      <alignment horizontal="center" vertical="center" wrapText="1"/>
    </xf>
    <xf numFmtId="0" fontId="16" fillId="0" borderId="30" xfId="17" applyFont="1" applyFill="1" applyBorder="1" applyAlignment="1">
      <alignment horizontal="center" vertical="center"/>
    </xf>
    <xf numFmtId="169" fontId="18" fillId="0" borderId="33" xfId="17" applyNumberFormat="1" applyFont="1" applyBorder="1" applyAlignment="1">
      <alignment vertical="center"/>
    </xf>
    <xf numFmtId="165" fontId="18" fillId="0" borderId="83" xfId="1" applyNumberFormat="1" applyFont="1" applyFill="1" applyBorder="1" applyAlignment="1">
      <alignment vertical="center"/>
    </xf>
    <xf numFmtId="165" fontId="18" fillId="0" borderId="84" xfId="1" applyNumberFormat="1" applyFont="1" applyFill="1" applyBorder="1" applyAlignment="1">
      <alignment horizontal="right" vertical="center"/>
    </xf>
    <xf numFmtId="5" fontId="18" fillId="0" borderId="0" xfId="18" applyNumberFormat="1" applyFont="1" applyAlignment="1">
      <alignment vertical="center" wrapText="1"/>
    </xf>
    <xf numFmtId="0" fontId="18" fillId="0" borderId="0" xfId="0" applyFont="1" applyAlignment="1">
      <alignment horizontal="center" vertical="center" wrapText="1"/>
    </xf>
    <xf numFmtId="165" fontId="0" fillId="0" borderId="0" xfId="0" applyNumberFormat="1"/>
    <xf numFmtId="0" fontId="16" fillId="0" borderId="24" xfId="17" applyFont="1" applyFill="1" applyBorder="1" applyAlignment="1">
      <alignment vertical="center" wrapText="1"/>
    </xf>
    <xf numFmtId="172" fontId="16" fillId="0" borderId="0" xfId="1" applyFont="1" applyFill="1" applyBorder="1" applyAlignment="1">
      <alignment vertical="center"/>
    </xf>
    <xf numFmtId="165" fontId="16" fillId="0" borderId="28" xfId="1" applyNumberFormat="1" applyFont="1" applyFill="1" applyBorder="1" applyAlignment="1">
      <alignment vertical="center"/>
    </xf>
    <xf numFmtId="172" fontId="16" fillId="0" borderId="28" xfId="1" applyFont="1" applyFill="1" applyBorder="1" applyAlignment="1">
      <alignment vertical="center"/>
    </xf>
    <xf numFmtId="0" fontId="18" fillId="0" borderId="0" xfId="28" applyFont="1" applyAlignment="1">
      <alignment vertical="center"/>
    </xf>
    <xf numFmtId="0" fontId="18" fillId="0" borderId="14" xfId="28" applyFont="1" applyBorder="1" applyAlignment="1">
      <alignment vertical="center"/>
    </xf>
    <xf numFmtId="0" fontId="16" fillId="0" borderId="14" xfId="28" applyFont="1" applyBorder="1" applyAlignment="1">
      <alignment vertical="center"/>
    </xf>
    <xf numFmtId="5" fontId="16" fillId="0" borderId="14" xfId="4" applyFont="1" applyBorder="1" applyAlignment="1">
      <alignment horizontal="center" vertical="center" wrapText="1"/>
    </xf>
    <xf numFmtId="0" fontId="18" fillId="0" borderId="38" xfId="0" applyFont="1" applyBorder="1" applyAlignment="1">
      <alignment horizontal="left" vertical="center" wrapText="1"/>
    </xf>
    <xf numFmtId="5" fontId="18" fillId="0" borderId="38" xfId="4" applyFont="1" applyFill="1" applyBorder="1" applyAlignment="1">
      <alignment vertical="center"/>
    </xf>
    <xf numFmtId="5" fontId="18" fillId="0" borderId="20" xfId="4" applyFont="1" applyFill="1" applyBorder="1" applyAlignment="1">
      <alignment vertical="center"/>
    </xf>
    <xf numFmtId="5" fontId="18" fillId="0" borderId="20" xfId="4" applyFont="1" applyBorder="1" applyAlignment="1">
      <alignment vertical="center"/>
    </xf>
    <xf numFmtId="5" fontId="18" fillId="0" borderId="82" xfId="4" applyFont="1" applyBorder="1" applyAlignment="1">
      <alignment vertical="center"/>
    </xf>
    <xf numFmtId="0" fontId="18" fillId="0" borderId="34" xfId="0" applyFont="1" applyBorder="1" applyAlignment="1">
      <alignment horizontal="left" vertical="center" wrapText="1"/>
    </xf>
    <xf numFmtId="5" fontId="18" fillId="0" borderId="34" xfId="4" applyFont="1" applyFill="1" applyBorder="1" applyAlignment="1">
      <alignment vertical="center"/>
    </xf>
    <xf numFmtId="5" fontId="18" fillId="0" borderId="3" xfId="4" applyFont="1" applyBorder="1" applyAlignment="1">
      <alignment vertical="center"/>
    </xf>
    <xf numFmtId="5" fontId="18" fillId="0" borderId="75" xfId="4" applyFont="1" applyBorder="1" applyAlignment="1">
      <alignment vertical="center"/>
    </xf>
    <xf numFmtId="0" fontId="18" fillId="0" borderId="77" xfId="0" applyFont="1" applyBorder="1" applyAlignment="1">
      <alignment horizontal="left" vertical="center" wrapText="1"/>
    </xf>
    <xf numFmtId="5" fontId="18" fillId="0" borderId="77" xfId="4" applyFont="1" applyFill="1" applyBorder="1" applyAlignment="1">
      <alignment vertical="center"/>
    </xf>
    <xf numFmtId="5" fontId="18" fillId="0" borderId="78" xfId="4" applyFont="1" applyFill="1" applyBorder="1" applyAlignment="1">
      <alignment vertical="center"/>
    </xf>
    <xf numFmtId="5" fontId="18" fillId="0" borderId="78" xfId="4" applyFont="1" applyBorder="1" applyAlignment="1">
      <alignment vertical="center"/>
    </xf>
    <xf numFmtId="5" fontId="18" fillId="0" borderId="76" xfId="4" applyFont="1" applyBorder="1" applyAlignment="1">
      <alignment vertical="center"/>
    </xf>
    <xf numFmtId="0" fontId="16" fillId="0" borderId="21" xfId="28" applyFont="1" applyBorder="1" applyAlignment="1">
      <alignment vertical="center" wrapText="1"/>
    </xf>
    <xf numFmtId="5" fontId="16" fillId="0" borderId="80" xfId="4" applyFont="1" applyFill="1" applyBorder="1" applyAlignment="1">
      <alignment vertical="center"/>
    </xf>
    <xf numFmtId="5" fontId="16" fillId="0" borderId="80" xfId="4" applyFont="1" applyBorder="1" applyAlignment="1">
      <alignment vertical="center"/>
    </xf>
    <xf numFmtId="5" fontId="16" fillId="0" borderId="21" xfId="4" applyFont="1" applyBorder="1" applyAlignment="1">
      <alignment vertical="center"/>
    </xf>
    <xf numFmtId="0" fontId="18" fillId="0" borderId="82" xfId="28" applyFont="1" applyFill="1" applyBorder="1" applyAlignment="1">
      <alignment vertical="center" wrapText="1"/>
    </xf>
    <xf numFmtId="5" fontId="18" fillId="0" borderId="82" xfId="4" applyFont="1" applyFill="1" applyBorder="1" applyAlignment="1">
      <alignment vertical="center"/>
    </xf>
    <xf numFmtId="0" fontId="18" fillId="0" borderId="76" xfId="28" applyFont="1" applyFill="1" applyBorder="1" applyAlignment="1">
      <alignment vertical="center" wrapText="1"/>
    </xf>
    <xf numFmtId="5" fontId="18" fillId="0" borderId="76" xfId="4" applyFont="1" applyFill="1" applyBorder="1" applyAlignment="1">
      <alignment vertical="center"/>
    </xf>
    <xf numFmtId="0" fontId="18" fillId="0" borderId="0" xfId="29" applyFont="1"/>
    <xf numFmtId="0" fontId="16" fillId="0" borderId="21" xfId="28" applyFont="1" applyFill="1" applyBorder="1" applyAlignment="1">
      <alignment vertical="center" wrapText="1"/>
    </xf>
    <xf numFmtId="5" fontId="16" fillId="0" borderId="63" xfId="4" applyFont="1" applyFill="1" applyBorder="1" applyAlignment="1">
      <alignment vertical="center"/>
    </xf>
    <xf numFmtId="5" fontId="16" fillId="0" borderId="18" xfId="4" applyFont="1" applyFill="1" applyBorder="1" applyAlignment="1">
      <alignment vertical="center"/>
    </xf>
    <xf numFmtId="5" fontId="16" fillId="0" borderId="15" xfId="4" applyFont="1" applyFill="1" applyBorder="1" applyAlignment="1">
      <alignment vertical="center"/>
    </xf>
    <xf numFmtId="5" fontId="16" fillId="0" borderId="40" xfId="4" applyFont="1" applyBorder="1" applyAlignment="1">
      <alignment vertical="center"/>
    </xf>
    <xf numFmtId="5" fontId="16" fillId="0" borderId="74" xfId="4" applyFont="1" applyBorder="1" applyAlignment="1">
      <alignment vertical="center"/>
    </xf>
    <xf numFmtId="5" fontId="16" fillId="0" borderId="74" xfId="4" applyFont="1" applyFill="1" applyBorder="1" applyAlignment="1">
      <alignment vertical="center"/>
    </xf>
    <xf numFmtId="5" fontId="16" fillId="0" borderId="14" xfId="4" applyFont="1" applyBorder="1" applyAlignment="1">
      <alignment vertical="center"/>
    </xf>
    <xf numFmtId="5" fontId="18" fillId="0" borderId="0" xfId="28" applyNumberFormat="1" applyFont="1" applyAlignment="1">
      <alignment vertical="center"/>
    </xf>
    <xf numFmtId="10" fontId="18" fillId="0" borderId="0" xfId="18" applyNumberFormat="1" applyFont="1" applyAlignment="1">
      <alignment vertical="center" wrapText="1"/>
    </xf>
    <xf numFmtId="5" fontId="16" fillId="0" borderId="22" xfId="4" applyNumberFormat="1" applyFont="1" applyBorder="1" applyAlignment="1">
      <alignment vertical="center" wrapText="1"/>
    </xf>
    <xf numFmtId="0" fontId="18" fillId="0" borderId="0" xfId="0" applyFont="1"/>
    <xf numFmtId="0" fontId="15" fillId="0" borderId="0" xfId="17" applyFont="1" applyFill="1" applyBorder="1" applyAlignment="1">
      <alignment horizontal="left" vertical="center" wrapText="1"/>
    </xf>
    <xf numFmtId="0" fontId="0" fillId="0" borderId="0" xfId="0" applyBorder="1" applyAlignment="1">
      <alignment horizontal="left"/>
    </xf>
    <xf numFmtId="0" fontId="8" fillId="0" borderId="0" xfId="0" applyFont="1"/>
    <xf numFmtId="0" fontId="16" fillId="0" borderId="0" xfId="17" applyFont="1" applyFill="1" applyBorder="1" applyAlignment="1">
      <alignment horizontal="center" vertical="center"/>
    </xf>
    <xf numFmtId="0" fontId="0" fillId="0" borderId="0" xfId="0" applyBorder="1"/>
    <xf numFmtId="0" fontId="15" fillId="0" borderId="0" xfId="17" applyFont="1" applyFill="1" applyBorder="1" applyAlignment="1">
      <alignment horizontal="left" vertical="center"/>
    </xf>
    <xf numFmtId="0" fontId="18" fillId="0" borderId="27" xfId="0" applyFont="1" applyBorder="1"/>
    <xf numFmtId="0" fontId="18" fillId="0" borderId="15" xfId="0" applyFont="1" applyBorder="1"/>
    <xf numFmtId="0" fontId="18" fillId="0" borderId="94" xfId="0" applyFont="1" applyBorder="1"/>
    <xf numFmtId="37" fontId="18" fillId="0" borderId="16" xfId="0" applyNumberFormat="1" applyFont="1" applyBorder="1"/>
    <xf numFmtId="37" fontId="18" fillId="0" borderId="90" xfId="0" applyNumberFormat="1" applyFont="1" applyBorder="1"/>
    <xf numFmtId="37" fontId="18" fillId="0" borderId="31" xfId="0" applyNumberFormat="1" applyFont="1" applyBorder="1"/>
    <xf numFmtId="37" fontId="18" fillId="0" borderId="91" xfId="0" applyNumberFormat="1" applyFont="1" applyBorder="1"/>
    <xf numFmtId="37" fontId="18" fillId="0" borderId="22" xfId="0" applyNumberFormat="1" applyFont="1" applyBorder="1"/>
    <xf numFmtId="37" fontId="18" fillId="0" borderId="83" xfId="0" applyNumberFormat="1" applyFont="1" applyBorder="1"/>
    <xf numFmtId="37" fontId="18" fillId="0" borderId="92" xfId="0" applyNumberFormat="1" applyFont="1" applyBorder="1"/>
    <xf numFmtId="37" fontId="18" fillId="0" borderId="84" xfId="0" applyNumberFormat="1" applyFont="1" applyBorder="1"/>
    <xf numFmtId="0" fontId="16" fillId="0" borderId="21" xfId="0" applyFont="1" applyBorder="1"/>
    <xf numFmtId="37" fontId="16" fillId="0" borderId="28" xfId="0" applyNumberFormat="1" applyFont="1" applyBorder="1"/>
    <xf numFmtId="37" fontId="16" fillId="0" borderId="93" xfId="0" applyNumberFormat="1" applyFont="1" applyBorder="1"/>
    <xf numFmtId="37" fontId="16" fillId="0" borderId="32" xfId="0" applyNumberFormat="1" applyFont="1" applyBorder="1"/>
    <xf numFmtId="37" fontId="16" fillId="0" borderId="1" xfId="0" applyNumberFormat="1" applyFont="1" applyBorder="1"/>
    <xf numFmtId="37" fontId="16" fillId="0" borderId="95" xfId="0" applyNumberFormat="1" applyFont="1" applyBorder="1"/>
    <xf numFmtId="37" fontId="0" fillId="0" borderId="0" xfId="0" applyNumberFormat="1"/>
    <xf numFmtId="0" fontId="18" fillId="0" borderId="0" xfId="0" applyFont="1"/>
    <xf numFmtId="0" fontId="18" fillId="0" borderId="0" xfId="0" applyFont="1"/>
    <xf numFmtId="0" fontId="15" fillId="0" borderId="0" xfId="0" applyFont="1" applyFill="1" applyBorder="1" applyAlignment="1">
      <alignment horizontal="left"/>
    </xf>
    <xf numFmtId="0" fontId="18" fillId="0" borderId="0" xfId="0" applyFont="1"/>
    <xf numFmtId="5" fontId="16" fillId="0" borderId="0" xfId="0" applyNumberFormat="1" applyFont="1" applyBorder="1"/>
    <xf numFmtId="0" fontId="18" fillId="0" borderId="0" xfId="0" applyFont="1" applyFill="1" applyBorder="1" applyAlignment="1">
      <alignment horizontal="center" vertical="center" wrapText="1"/>
    </xf>
    <xf numFmtId="0" fontId="16" fillId="0" borderId="0" xfId="17" applyFont="1" applyFill="1" applyBorder="1" applyAlignment="1">
      <alignment horizontal="center" vertical="top" wrapText="1"/>
    </xf>
    <xf numFmtId="5" fontId="18" fillId="0" borderId="0" xfId="17" applyNumberFormat="1" applyFont="1" applyFill="1" applyBorder="1"/>
    <xf numFmtId="5" fontId="18" fillId="0" borderId="0" xfId="1" applyNumberFormat="1" applyFont="1" applyFill="1" applyBorder="1"/>
    <xf numFmtId="5" fontId="16" fillId="0" borderId="0" xfId="1" applyNumberFormat="1" applyFont="1" applyFill="1" applyBorder="1" applyAlignment="1"/>
    <xf numFmtId="0" fontId="15" fillId="0" borderId="0" xfId="0" applyFont="1" applyFill="1" applyBorder="1" applyAlignment="1">
      <alignment wrapText="1"/>
    </xf>
    <xf numFmtId="0" fontId="16" fillId="6" borderId="26" xfId="0" applyFont="1" applyFill="1" applyBorder="1" applyAlignment="1">
      <alignment horizontal="center" vertical="center"/>
    </xf>
    <xf numFmtId="0" fontId="16" fillId="6" borderId="32" xfId="0" applyFont="1" applyFill="1" applyBorder="1"/>
    <xf numFmtId="37" fontId="16" fillId="6" borderId="28" xfId="0" applyNumberFormat="1" applyFont="1" applyFill="1" applyBorder="1"/>
    <xf numFmtId="37" fontId="16" fillId="6" borderId="95" xfId="0" applyNumberFormat="1" applyFont="1" applyFill="1" applyBorder="1"/>
    <xf numFmtId="176" fontId="18" fillId="0" borderId="0" xfId="17" applyNumberFormat="1" applyFont="1" applyFill="1" applyAlignment="1">
      <alignment vertical="center"/>
    </xf>
    <xf numFmtId="176" fontId="18" fillId="0" borderId="0" xfId="0" applyNumberFormat="1" applyFont="1"/>
    <xf numFmtId="0" fontId="18" fillId="0" borderId="0" xfId="0" applyFont="1"/>
    <xf numFmtId="165" fontId="18" fillId="0" borderId="5" xfId="0" applyNumberFormat="1" applyFont="1" applyFill="1" applyBorder="1"/>
    <xf numFmtId="165" fontId="18" fillId="0" borderId="0" xfId="0" applyNumberFormat="1" applyFont="1" applyFill="1" applyBorder="1"/>
    <xf numFmtId="5" fontId="18" fillId="0" borderId="0" xfId="0" applyNumberFormat="1" applyFont="1" applyBorder="1" applyAlignment="1">
      <alignment vertical="top" wrapText="1"/>
    </xf>
    <xf numFmtId="10" fontId="18" fillId="0" borderId="0" xfId="17" applyNumberFormat="1" applyFont="1"/>
    <xf numFmtId="37" fontId="18" fillId="0" borderId="83" xfId="1" applyNumberFormat="1" applyFont="1" applyBorder="1" applyAlignment="1">
      <alignment vertical="center"/>
    </xf>
    <xf numFmtId="7" fontId="18" fillId="0" borderId="0" xfId="17" applyNumberFormat="1" applyFont="1"/>
    <xf numFmtId="5" fontId="18" fillId="0" borderId="0" xfId="17" applyNumberFormat="1" applyFont="1" applyBorder="1"/>
    <xf numFmtId="177" fontId="18" fillId="0" borderId="0" xfId="18" applyNumberFormat="1" applyFont="1" applyFill="1" applyAlignment="1">
      <alignment vertical="center"/>
    </xf>
    <xf numFmtId="178" fontId="16" fillId="0" borderId="40" xfId="4" quotePrefix="1" applyNumberFormat="1" applyFont="1" applyBorder="1" applyAlignment="1">
      <alignment horizontal="center" vertical="center" wrapText="1"/>
    </xf>
    <xf numFmtId="178" fontId="16" fillId="0" borderId="74" xfId="4" quotePrefix="1" applyNumberFormat="1" applyFont="1" applyBorder="1" applyAlignment="1">
      <alignment horizontal="center" vertical="center" wrapText="1"/>
    </xf>
    <xf numFmtId="0" fontId="18" fillId="0" borderId="0" xfId="0" applyFont="1"/>
    <xf numFmtId="0" fontId="18" fillId="0" borderId="27" xfId="0" applyFont="1" applyFill="1" applyBorder="1" applyAlignment="1">
      <alignment vertical="center" wrapText="1"/>
    </xf>
    <xf numFmtId="165" fontId="18" fillId="0" borderId="16" xfId="1" applyNumberFormat="1" applyFont="1" applyFill="1" applyBorder="1" applyAlignment="1">
      <alignment vertical="center"/>
    </xf>
    <xf numFmtId="165" fontId="18" fillId="0" borderId="27" xfId="1" applyNumberFormat="1" applyFont="1" applyFill="1" applyBorder="1" applyAlignment="1">
      <alignment vertical="center"/>
    </xf>
    <xf numFmtId="165" fontId="18" fillId="0" borderId="28" xfId="1" applyNumberFormat="1" applyFont="1" applyFill="1" applyBorder="1" applyAlignment="1">
      <alignment vertical="center"/>
    </xf>
    <xf numFmtId="0" fontId="28" fillId="0" borderId="0" xfId="0" applyFont="1" applyBorder="1"/>
    <xf numFmtId="165" fontId="18" fillId="0" borderId="18" xfId="1" applyNumberFormat="1" applyFont="1" applyFill="1" applyBorder="1" applyAlignment="1">
      <alignment vertical="center"/>
    </xf>
    <xf numFmtId="0" fontId="18" fillId="0" borderId="27" xfId="0" applyFont="1" applyBorder="1" applyAlignment="1">
      <alignment vertical="center" wrapText="1"/>
    </xf>
    <xf numFmtId="0" fontId="16" fillId="4" borderId="24" xfId="17" applyFont="1" applyFill="1" applyBorder="1" applyAlignment="1">
      <alignment vertical="center" wrapText="1"/>
    </xf>
    <xf numFmtId="0" fontId="16" fillId="4" borderId="26" xfId="17" applyFont="1" applyFill="1" applyBorder="1" applyAlignment="1">
      <alignment vertical="center" wrapText="1"/>
    </xf>
    <xf numFmtId="165" fontId="18" fillId="0" borderId="0" xfId="1" applyNumberFormat="1" applyFont="1" applyFill="1" applyBorder="1" applyAlignment="1">
      <alignment horizontal="left" vertical="center"/>
    </xf>
    <xf numFmtId="0" fontId="16" fillId="6" borderId="29" xfId="17" applyFont="1" applyFill="1" applyBorder="1" applyAlignment="1">
      <alignment vertical="center"/>
    </xf>
    <xf numFmtId="0" fontId="0" fillId="6" borderId="1" xfId="0" applyFill="1" applyBorder="1"/>
    <xf numFmtId="0" fontId="0" fillId="6" borderId="30" xfId="0" applyFill="1" applyBorder="1"/>
    <xf numFmtId="0" fontId="18" fillId="0" borderId="0" xfId="0" applyFont="1"/>
    <xf numFmtId="0" fontId="15" fillId="0" borderId="0" xfId="0" applyFont="1" applyFill="1" applyBorder="1" applyAlignment="1">
      <alignment horizontal="left" wrapText="1"/>
    </xf>
    <xf numFmtId="0" fontId="16" fillId="0" borderId="26" xfId="0" applyFont="1" applyFill="1" applyBorder="1" applyAlignment="1">
      <alignment horizontal="left" vertical="center" wrapText="1"/>
    </xf>
    <xf numFmtId="0" fontId="18" fillId="0" borderId="0" xfId="0" applyFont="1"/>
    <xf numFmtId="7" fontId="18" fillId="0" borderId="0" xfId="0" applyNumberFormat="1" applyFont="1"/>
    <xf numFmtId="0" fontId="23" fillId="0" borderId="0" xfId="30" applyFont="1" applyAlignment="1">
      <alignment vertical="center"/>
    </xf>
    <xf numFmtId="0" fontId="31" fillId="6" borderId="14" xfId="30" applyFont="1" applyFill="1" applyBorder="1" applyAlignment="1">
      <alignment horizontal="center" vertical="center"/>
    </xf>
    <xf numFmtId="17" fontId="31" fillId="0" borderId="40" xfId="30" applyNumberFormat="1" applyFont="1" applyBorder="1" applyAlignment="1">
      <alignment horizontal="center" vertical="center"/>
    </xf>
    <xf numFmtId="17" fontId="31" fillId="0" borderId="74" xfId="30" applyNumberFormat="1" applyFont="1" applyBorder="1" applyAlignment="1">
      <alignment horizontal="center" vertical="center"/>
    </xf>
    <xf numFmtId="17" fontId="31" fillId="0" borderId="41" xfId="30" applyNumberFormat="1" applyFont="1" applyBorder="1" applyAlignment="1">
      <alignment horizontal="center" vertical="center"/>
    </xf>
    <xf numFmtId="0" fontId="23" fillId="0" borderId="0" xfId="30" applyFont="1" applyAlignment="1">
      <alignment vertical="center" wrapText="1"/>
    </xf>
    <xf numFmtId="0" fontId="23" fillId="0" borderId="44" xfId="30" applyFont="1" applyBorder="1" applyAlignment="1">
      <alignment horizontal="left" vertical="center" wrapText="1"/>
    </xf>
    <xf numFmtId="5" fontId="23" fillId="0" borderId="43" xfId="30" applyNumberFormat="1" applyFont="1" applyFill="1" applyBorder="1" applyAlignment="1">
      <alignment horizontal="right" vertical="center"/>
    </xf>
    <xf numFmtId="5" fontId="31" fillId="0" borderId="44" xfId="30" applyNumberFormat="1" applyFont="1" applyFill="1" applyBorder="1" applyAlignment="1">
      <alignment horizontal="right" vertical="center"/>
    </xf>
    <xf numFmtId="0" fontId="23" fillId="0" borderId="35" xfId="30" applyFont="1" applyBorder="1" applyAlignment="1">
      <alignment horizontal="left" vertical="center" wrapText="1"/>
    </xf>
    <xf numFmtId="5" fontId="23" fillId="0" borderId="3" xfId="30" applyNumberFormat="1" applyFont="1" applyFill="1" applyBorder="1" applyAlignment="1">
      <alignment horizontal="right" vertical="center"/>
    </xf>
    <xf numFmtId="5" fontId="31" fillId="0" borderId="35" xfId="30" applyNumberFormat="1" applyFont="1" applyFill="1" applyBorder="1" applyAlignment="1">
      <alignment horizontal="right" vertical="center"/>
    </xf>
    <xf numFmtId="0" fontId="23" fillId="0" borderId="79" xfId="30" applyFont="1" applyBorder="1" applyAlignment="1">
      <alignment horizontal="left" vertical="center" wrapText="1"/>
    </xf>
    <xf numFmtId="5" fontId="23" fillId="0" borderId="78" xfId="30" applyNumberFormat="1" applyFont="1" applyFill="1" applyBorder="1" applyAlignment="1">
      <alignment horizontal="right" vertical="center"/>
    </xf>
    <xf numFmtId="5" fontId="31" fillId="0" borderId="79" xfId="30" applyNumberFormat="1" applyFont="1" applyFill="1" applyBorder="1" applyAlignment="1">
      <alignment horizontal="right" vertical="center"/>
    </xf>
    <xf numFmtId="0" fontId="31" fillId="0" borderId="99" xfId="30" applyFont="1" applyBorder="1" applyAlignment="1">
      <alignment horizontal="left" vertical="center" wrapText="1"/>
    </xf>
    <xf numFmtId="5" fontId="23" fillId="0" borderId="100" xfId="30" applyNumberFormat="1" applyFont="1" applyFill="1" applyBorder="1" applyAlignment="1">
      <alignment horizontal="right" vertical="center"/>
    </xf>
    <xf numFmtId="0" fontId="31" fillId="0" borderId="101" xfId="30" applyFont="1" applyBorder="1" applyAlignment="1">
      <alignment horizontal="left" vertical="center" wrapText="1"/>
    </xf>
    <xf numFmtId="5" fontId="31" fillId="0" borderId="102" xfId="30" applyNumberFormat="1" applyFont="1" applyFill="1" applyBorder="1" applyAlignment="1">
      <alignment horizontal="right" vertical="center"/>
    </xf>
    <xf numFmtId="5" fontId="23" fillId="0" borderId="20" xfId="30" applyNumberFormat="1" applyFont="1" applyFill="1" applyBorder="1" applyAlignment="1">
      <alignment horizontal="right" vertical="center"/>
    </xf>
    <xf numFmtId="5" fontId="31" fillId="0" borderId="39" xfId="30" applyNumberFormat="1" applyFont="1" applyFill="1" applyBorder="1" applyAlignment="1">
      <alignment horizontal="right" vertical="center"/>
    </xf>
    <xf numFmtId="5" fontId="31" fillId="0" borderId="20" xfId="30" applyNumberFormat="1" applyFont="1" applyFill="1" applyBorder="1" applyAlignment="1">
      <alignment horizontal="right" vertical="center"/>
    </xf>
    <xf numFmtId="37" fontId="23" fillId="0" borderId="3" xfId="30" applyNumberFormat="1" applyFont="1" applyFill="1" applyBorder="1" applyAlignment="1">
      <alignment horizontal="right" vertical="center"/>
    </xf>
    <xf numFmtId="37" fontId="31" fillId="0" borderId="35" xfId="30" applyNumberFormat="1" applyFont="1" applyFill="1" applyBorder="1" applyAlignment="1">
      <alignment horizontal="right" vertical="center"/>
    </xf>
    <xf numFmtId="7" fontId="23" fillId="0" borderId="36" xfId="30" applyNumberFormat="1" applyFont="1" applyBorder="1" applyAlignment="1">
      <alignment horizontal="right" vertical="center"/>
    </xf>
    <xf numFmtId="7" fontId="23" fillId="0" borderId="45" xfId="30" applyNumberFormat="1" applyFont="1" applyBorder="1" applyAlignment="1">
      <alignment horizontal="right" vertical="center"/>
    </xf>
    <xf numFmtId="7" fontId="23" fillId="0" borderId="45" xfId="30" applyNumberFormat="1" applyFont="1" applyFill="1" applyBorder="1" applyAlignment="1">
      <alignment horizontal="right" vertical="center"/>
    </xf>
    <xf numFmtId="7" fontId="23" fillId="0" borderId="37" xfId="30" applyNumberFormat="1" applyFont="1" applyFill="1" applyBorder="1" applyAlignment="1">
      <alignment horizontal="right" vertical="center"/>
    </xf>
    <xf numFmtId="0" fontId="31" fillId="0" borderId="81" xfId="30" applyFont="1" applyBorder="1" applyAlignment="1">
      <alignment horizontal="left" vertical="center" wrapText="1"/>
    </xf>
    <xf numFmtId="5" fontId="31" fillId="0" borderId="80" xfId="30" applyNumberFormat="1" applyFont="1" applyFill="1" applyBorder="1" applyAlignment="1">
      <alignment horizontal="right" vertical="center"/>
    </xf>
    <xf numFmtId="0" fontId="31" fillId="0" borderId="44" xfId="30" applyFont="1" applyBorder="1" applyAlignment="1">
      <alignment horizontal="left" vertical="center" wrapText="1"/>
    </xf>
    <xf numFmtId="0" fontId="31" fillId="0" borderId="35" xfId="30" applyFont="1" applyBorder="1" applyAlignment="1">
      <alignment horizontal="left" vertical="center" wrapText="1"/>
    </xf>
    <xf numFmtId="0" fontId="31" fillId="0" borderId="79" xfId="30" applyFont="1" applyBorder="1" applyAlignment="1">
      <alignment horizontal="left" vertical="center" wrapText="1"/>
    </xf>
    <xf numFmtId="0" fontId="31" fillId="0" borderId="39" xfId="30" applyFont="1" applyBorder="1" applyAlignment="1">
      <alignment horizontal="left" vertical="center" wrapText="1"/>
    </xf>
    <xf numFmtId="0" fontId="23" fillId="0" borderId="0" xfId="30" applyFont="1" applyAlignment="1">
      <alignment horizontal="center" vertical="center"/>
    </xf>
    <xf numFmtId="17" fontId="31" fillId="0" borderId="30" xfId="30" applyNumberFormat="1" applyFont="1" applyBorder="1" applyAlignment="1">
      <alignment horizontal="center" vertical="center"/>
    </xf>
    <xf numFmtId="5" fontId="31" fillId="0" borderId="52" xfId="30" applyNumberFormat="1" applyFont="1" applyFill="1" applyBorder="1" applyAlignment="1">
      <alignment horizontal="right" vertical="center"/>
    </xf>
    <xf numFmtId="5" fontId="31" fillId="0" borderId="54" xfId="30" applyNumberFormat="1" applyFont="1" applyFill="1" applyBorder="1" applyAlignment="1">
      <alignment horizontal="right" vertical="center"/>
    </xf>
    <xf numFmtId="5" fontId="31" fillId="0" borderId="104" xfId="30" applyNumberFormat="1" applyFont="1" applyFill="1" applyBorder="1" applyAlignment="1">
      <alignment horizontal="right" vertical="center"/>
    </xf>
    <xf numFmtId="5" fontId="31" fillId="0" borderId="84" xfId="30" applyNumberFormat="1" applyFont="1" applyFill="1" applyBorder="1" applyAlignment="1">
      <alignment horizontal="right" vertical="center"/>
    </xf>
    <xf numFmtId="5" fontId="31" fillId="0" borderId="23" xfId="30" applyNumberFormat="1" applyFont="1" applyFill="1" applyBorder="1" applyAlignment="1">
      <alignment horizontal="right" vertical="center"/>
    </xf>
    <xf numFmtId="5" fontId="31" fillId="0" borderId="56" xfId="30" applyNumberFormat="1" applyFont="1" applyFill="1" applyBorder="1" applyAlignment="1">
      <alignment horizontal="right" vertical="center"/>
    </xf>
    <xf numFmtId="37" fontId="31" fillId="0" borderId="54" xfId="30" applyNumberFormat="1" applyFont="1" applyFill="1" applyBorder="1" applyAlignment="1">
      <alignment horizontal="right" vertical="center"/>
    </xf>
    <xf numFmtId="5" fontId="31" fillId="0" borderId="32" xfId="30" applyNumberFormat="1" applyFont="1" applyFill="1" applyBorder="1" applyAlignment="1">
      <alignment horizontal="right" vertical="center"/>
    </xf>
    <xf numFmtId="17" fontId="31" fillId="0" borderId="107" xfId="30" applyNumberFormat="1" applyFont="1" applyBorder="1" applyAlignment="1">
      <alignment horizontal="center" vertical="center"/>
    </xf>
    <xf numFmtId="5" fontId="23" fillId="0" borderId="108" xfId="30" applyNumberFormat="1" applyFont="1" applyFill="1" applyBorder="1" applyAlignment="1">
      <alignment horizontal="right" vertical="center"/>
    </xf>
    <xf numFmtId="5" fontId="23" fillId="0" borderId="109" xfId="30" applyNumberFormat="1" applyFont="1" applyFill="1" applyBorder="1" applyAlignment="1">
      <alignment horizontal="right" vertical="center"/>
    </xf>
    <xf numFmtId="5" fontId="23" fillId="0" borderId="110" xfId="30" applyNumberFormat="1" applyFont="1" applyFill="1" applyBorder="1" applyAlignment="1">
      <alignment horizontal="right" vertical="center"/>
    </xf>
    <xf numFmtId="5" fontId="23" fillId="0" borderId="111" xfId="30" applyNumberFormat="1" applyFont="1" applyFill="1" applyBorder="1" applyAlignment="1">
      <alignment horizontal="right" vertical="center"/>
    </xf>
    <xf numFmtId="5" fontId="31" fillId="0" borderId="112" xfId="30" applyNumberFormat="1" applyFont="1" applyFill="1" applyBorder="1" applyAlignment="1">
      <alignment horizontal="right" vertical="center"/>
    </xf>
    <xf numFmtId="5" fontId="23" fillId="0" borderId="113" xfId="30" applyNumberFormat="1" applyFont="1" applyFill="1" applyBorder="1" applyAlignment="1">
      <alignment horizontal="right" vertical="center"/>
    </xf>
    <xf numFmtId="5" fontId="31" fillId="0" borderId="113" xfId="30" applyNumberFormat="1" applyFont="1" applyFill="1" applyBorder="1" applyAlignment="1">
      <alignment horizontal="right" vertical="center"/>
    </xf>
    <xf numFmtId="37" fontId="23" fillId="0" borderId="109" xfId="30" applyNumberFormat="1" applyFont="1" applyFill="1" applyBorder="1" applyAlignment="1">
      <alignment horizontal="right" vertical="center"/>
    </xf>
    <xf numFmtId="7" fontId="23" fillId="0" borderId="114" xfId="30" applyNumberFormat="1" applyFont="1" applyFill="1" applyBorder="1" applyAlignment="1">
      <alignment horizontal="right" vertical="center"/>
    </xf>
    <xf numFmtId="5" fontId="31" fillId="0" borderId="115" xfId="30" applyNumberFormat="1" applyFont="1" applyFill="1" applyBorder="1" applyAlignment="1">
      <alignment horizontal="right" vertical="center"/>
    </xf>
    <xf numFmtId="7" fontId="31" fillId="0" borderId="106" xfId="30" applyNumberFormat="1" applyFont="1" applyFill="1" applyBorder="1" applyAlignment="1">
      <alignment horizontal="right" vertical="center"/>
    </xf>
    <xf numFmtId="5" fontId="16" fillId="0" borderId="3" xfId="17" applyNumberFormat="1" applyFont="1" applyFill="1" applyBorder="1"/>
    <xf numFmtId="165" fontId="16" fillId="0" borderId="2" xfId="1" applyNumberFormat="1" applyFont="1" applyFill="1" applyBorder="1" applyAlignment="1">
      <alignment vertical="center"/>
    </xf>
    <xf numFmtId="0" fontId="18" fillId="0" borderId="116" xfId="17" applyFont="1" applyBorder="1" applyAlignment="1">
      <alignment horizontal="center" vertical="center" wrapText="1"/>
    </xf>
    <xf numFmtId="165" fontId="16" fillId="0" borderId="35" xfId="1" applyNumberFormat="1" applyFont="1" applyFill="1" applyBorder="1" applyAlignment="1">
      <alignment vertical="center"/>
    </xf>
    <xf numFmtId="0" fontId="18" fillId="0" borderId="69" xfId="17" applyFont="1" applyFill="1" applyBorder="1" applyAlignment="1">
      <alignment horizontal="center" vertical="top"/>
    </xf>
    <xf numFmtId="0" fontId="16" fillId="0" borderId="98" xfId="17" applyFont="1" applyFill="1" applyBorder="1" applyAlignment="1">
      <alignment horizontal="center" vertical="center" wrapText="1"/>
    </xf>
    <xf numFmtId="0" fontId="18" fillId="0" borderId="64" xfId="17" applyFont="1" applyFill="1" applyBorder="1" applyAlignment="1">
      <alignment horizontal="center" vertical="center" wrapText="1"/>
    </xf>
    <xf numFmtId="5" fontId="18" fillId="0" borderId="0" xfId="4" applyNumberFormat="1" applyFont="1" applyBorder="1"/>
    <xf numFmtId="5" fontId="18" fillId="0" borderId="0" xfId="0" applyNumberFormat="1" applyFont="1" applyAlignment="1">
      <alignment vertical="top"/>
    </xf>
    <xf numFmtId="0" fontId="18" fillId="0" borderId="0" xfId="0" applyFont="1"/>
    <xf numFmtId="0" fontId="18" fillId="0" borderId="97" xfId="17" applyFont="1" applyFill="1" applyBorder="1" applyAlignment="1">
      <alignment horizontal="center" vertical="center" wrapText="1"/>
    </xf>
    <xf numFmtId="5" fontId="16" fillId="0" borderId="2" xfId="17" applyNumberFormat="1" applyFont="1" applyFill="1" applyBorder="1"/>
    <xf numFmtId="5" fontId="18" fillId="0" borderId="70" xfId="17" applyNumberFormat="1" applyFont="1" applyFill="1" applyBorder="1"/>
    <xf numFmtId="5" fontId="16" fillId="0" borderId="39" xfId="17" applyNumberFormat="1" applyFont="1" applyFill="1" applyBorder="1"/>
    <xf numFmtId="0" fontId="16" fillId="0" borderId="0" xfId="29" applyFont="1" applyBorder="1" applyAlignment="1">
      <alignment horizontal="center" vertical="center"/>
    </xf>
    <xf numFmtId="0" fontId="18" fillId="0" borderId="0" xfId="29" applyFont="1" applyAlignment="1">
      <alignment vertical="center"/>
    </xf>
    <xf numFmtId="165" fontId="18" fillId="0" borderId="0" xfId="29" applyNumberFormat="1" applyFont="1" applyAlignment="1">
      <alignment vertical="top"/>
    </xf>
    <xf numFmtId="0" fontId="18" fillId="0" borderId="0" xfId="29" applyFont="1" applyAlignment="1">
      <alignment vertical="top"/>
    </xf>
    <xf numFmtId="0" fontId="8" fillId="0" borderId="0" xfId="29"/>
    <xf numFmtId="165" fontId="8" fillId="0" borderId="0" xfId="29" applyNumberFormat="1"/>
    <xf numFmtId="10" fontId="18" fillId="0" borderId="22" xfId="18" applyNumberFormat="1" applyFont="1" applyFill="1" applyBorder="1" applyAlignment="1">
      <alignment vertical="center"/>
    </xf>
    <xf numFmtId="165" fontId="16" fillId="0" borderId="32" xfId="1" applyNumberFormat="1" applyFont="1" applyFill="1" applyBorder="1" applyAlignment="1">
      <alignment vertical="center"/>
    </xf>
    <xf numFmtId="0" fontId="16" fillId="0" borderId="0" xfId="29" applyFont="1" applyAlignment="1">
      <alignment horizontal="center" vertical="center" wrapText="1"/>
    </xf>
    <xf numFmtId="0" fontId="18" fillId="0" borderId="0" xfId="29" applyFont="1" applyAlignment="1">
      <alignment wrapText="1"/>
    </xf>
    <xf numFmtId="0" fontId="16" fillId="4" borderId="0" xfId="29" applyFont="1" applyFill="1" applyBorder="1" applyAlignment="1">
      <alignment vertical="center"/>
    </xf>
    <xf numFmtId="0" fontId="16" fillId="4" borderId="0" xfId="29" applyFont="1" applyFill="1" applyBorder="1" applyAlignment="1">
      <alignment wrapText="1"/>
    </xf>
    <xf numFmtId="22" fontId="16" fillId="4" borderId="0" xfId="29" applyNumberFormat="1" applyFont="1" applyFill="1" applyBorder="1" applyAlignment="1">
      <alignment wrapText="1"/>
    </xf>
    <xf numFmtId="0" fontId="18" fillId="0" borderId="0" xfId="29" applyFont="1" applyBorder="1" applyAlignment="1">
      <alignment vertical="center"/>
    </xf>
    <xf numFmtId="37" fontId="18" fillId="0" borderId="0" xfId="29" applyNumberFormat="1" applyFont="1" applyAlignment="1">
      <alignment vertical="center"/>
    </xf>
    <xf numFmtId="165" fontId="18" fillId="0" borderId="0" xfId="29" applyNumberFormat="1" applyFont="1" applyAlignment="1">
      <alignment vertical="center"/>
    </xf>
    <xf numFmtId="37" fontId="16" fillId="0" borderId="0" xfId="29" applyNumberFormat="1" applyFont="1" applyAlignment="1">
      <alignment vertical="center"/>
    </xf>
    <xf numFmtId="0" fontId="18" fillId="0" borderId="0" xfId="29" applyFont="1" applyAlignment="1">
      <alignment horizontal="center" vertical="center"/>
    </xf>
    <xf numFmtId="5" fontId="18" fillId="0" borderId="0" xfId="4" applyFont="1" applyBorder="1"/>
    <xf numFmtId="0" fontId="18" fillId="0" borderId="0" xfId="0" applyFont="1" applyFill="1" applyBorder="1" applyAlignment="1">
      <alignment vertical="center" wrapText="1"/>
    </xf>
    <xf numFmtId="5" fontId="16" fillId="0" borderId="0" xfId="0" applyNumberFormat="1" applyFont="1" applyAlignment="1">
      <alignment vertical="center"/>
    </xf>
    <xf numFmtId="0" fontId="18" fillId="0" borderId="21" xfId="0" applyFont="1" applyBorder="1" applyAlignment="1">
      <alignment vertical="center" wrapText="1"/>
    </xf>
    <xf numFmtId="0" fontId="16" fillId="0" borderId="21" xfId="0" applyFont="1" applyBorder="1" applyAlignment="1">
      <alignment horizontal="center" vertical="center" wrapText="1"/>
    </xf>
    <xf numFmtId="170" fontId="16" fillId="0" borderId="28" xfId="4" applyNumberFormat="1" applyFont="1" applyFill="1" applyBorder="1" applyAlignment="1">
      <alignment horizontal="center" vertical="center" wrapText="1"/>
    </xf>
    <xf numFmtId="5" fontId="16" fillId="0" borderId="21" xfId="4" applyFont="1" applyFill="1" applyBorder="1" applyAlignment="1">
      <alignment horizontal="center" vertical="center" wrapText="1"/>
    </xf>
    <xf numFmtId="167" fontId="18" fillId="0" borderId="0" xfId="0" applyNumberFormat="1" applyFont="1" applyBorder="1"/>
    <xf numFmtId="0" fontId="16" fillId="0" borderId="30" xfId="0" applyFont="1" applyBorder="1" applyAlignment="1">
      <alignment horizontal="center" vertical="center" wrapText="1"/>
    </xf>
    <xf numFmtId="17" fontId="18" fillId="0" borderId="63" xfId="17" applyNumberFormat="1" applyFont="1" applyBorder="1" applyAlignment="1">
      <alignment vertical="center"/>
    </xf>
    <xf numFmtId="37" fontId="18" fillId="0" borderId="22" xfId="1" applyNumberFormat="1" applyFont="1" applyFill="1" applyBorder="1" applyAlignment="1">
      <alignment horizontal="right"/>
    </xf>
    <xf numFmtId="37" fontId="18" fillId="0" borderId="22" xfId="1" applyNumberFormat="1" applyFont="1" applyFill="1" applyBorder="1"/>
    <xf numFmtId="37" fontId="18" fillId="0" borderId="70" xfId="0" applyNumberFormat="1" applyFont="1" applyFill="1" applyBorder="1"/>
    <xf numFmtId="37" fontId="18" fillId="0" borderId="70" xfId="0" applyNumberFormat="1" applyFont="1" applyBorder="1"/>
    <xf numFmtId="37" fontId="18" fillId="0" borderId="56" xfId="1" applyNumberFormat="1" applyFont="1" applyFill="1" applyBorder="1"/>
    <xf numFmtId="37" fontId="16" fillId="0" borderId="22" xfId="1" applyNumberFormat="1" applyFont="1" applyFill="1" applyBorder="1" applyAlignment="1"/>
    <xf numFmtId="37" fontId="18" fillId="0" borderId="22" xfId="1" applyNumberFormat="1" applyFont="1" applyFill="1" applyBorder="1" applyAlignment="1"/>
    <xf numFmtId="5" fontId="16" fillId="0" borderId="22" xfId="1" applyNumberFormat="1" applyFont="1" applyFill="1" applyBorder="1" applyAlignment="1"/>
    <xf numFmtId="10" fontId="18" fillId="0" borderId="15" xfId="18" applyNumberFormat="1" applyFont="1" applyFill="1" applyBorder="1" applyAlignment="1">
      <alignment vertical="center"/>
    </xf>
    <xf numFmtId="10" fontId="18" fillId="0" borderId="14" xfId="18" applyNumberFormat="1" applyFont="1" applyFill="1" applyBorder="1" applyAlignment="1">
      <alignment vertical="center"/>
    </xf>
    <xf numFmtId="37" fontId="18" fillId="0" borderId="22" xfId="1" applyNumberFormat="1" applyFont="1" applyFill="1" applyBorder="1" applyAlignment="1">
      <alignment horizontal="right" vertical="center"/>
    </xf>
    <xf numFmtId="37" fontId="18" fillId="5" borderId="22" xfId="1" applyNumberFormat="1" applyFont="1" applyFill="1" applyBorder="1" applyAlignment="1">
      <alignment horizontal="right" vertical="center"/>
    </xf>
    <xf numFmtId="37" fontId="18" fillId="0" borderId="22" xfId="1" applyNumberFormat="1" applyFont="1" applyFill="1" applyBorder="1" applyAlignment="1">
      <alignment vertical="center"/>
    </xf>
    <xf numFmtId="165" fontId="18" fillId="0" borderId="22" xfId="1" applyNumberFormat="1" applyFont="1" applyFill="1" applyBorder="1" applyAlignment="1">
      <alignment vertical="center"/>
    </xf>
    <xf numFmtId="0" fontId="18" fillId="0" borderId="53" xfId="0" applyNumberFormat="1" applyFont="1" applyBorder="1" applyAlignment="1">
      <alignment horizontal="center" wrapText="1"/>
    </xf>
    <xf numFmtId="0" fontId="16" fillId="0" borderId="54" xfId="0" applyNumberFormat="1" applyFont="1" applyBorder="1" applyAlignment="1">
      <alignment horizontal="center" vertical="center" wrapText="1"/>
    </xf>
    <xf numFmtId="37" fontId="18" fillId="0" borderId="58" xfId="0" applyNumberFormat="1" applyFont="1" applyBorder="1"/>
    <xf numFmtId="37" fontId="16" fillId="0" borderId="56" xfId="0" applyNumberFormat="1" applyFont="1" applyFill="1" applyBorder="1"/>
    <xf numFmtId="169" fontId="18" fillId="0" borderId="24" xfId="17" applyNumberFormat="1" applyFont="1" applyFill="1" applyBorder="1" applyAlignment="1">
      <alignment vertical="center"/>
    </xf>
    <xf numFmtId="37" fontId="16" fillId="0" borderId="56" xfId="0" applyNumberFormat="1" applyFont="1" applyBorder="1"/>
    <xf numFmtId="37" fontId="18" fillId="0" borderId="58" xfId="0" applyNumberFormat="1" applyFont="1" applyFill="1" applyBorder="1"/>
    <xf numFmtId="37" fontId="18" fillId="0" borderId="22" xfId="0" applyNumberFormat="1" applyFont="1" applyFill="1" applyBorder="1"/>
    <xf numFmtId="37" fontId="16" fillId="0" borderId="22" xfId="0" applyNumberFormat="1" applyFont="1" applyFill="1" applyBorder="1"/>
    <xf numFmtId="10" fontId="18" fillId="0" borderId="22" xfId="18" applyNumberFormat="1" applyFont="1" applyFill="1" applyBorder="1"/>
    <xf numFmtId="0" fontId="18" fillId="6" borderId="31" xfId="0" applyFont="1" applyFill="1" applyBorder="1" applyAlignment="1"/>
    <xf numFmtId="0" fontId="18" fillId="6" borderId="22" xfId="0" applyFont="1" applyFill="1" applyBorder="1" applyAlignment="1"/>
    <xf numFmtId="5" fontId="18" fillId="6" borderId="22" xfId="17" applyNumberFormat="1" applyFont="1" applyFill="1" applyBorder="1"/>
    <xf numFmtId="0" fontId="18" fillId="0" borderId="22" xfId="0" applyFont="1" applyFill="1" applyBorder="1" applyAlignment="1"/>
    <xf numFmtId="0" fontId="18" fillId="0" borderId="22" xfId="0" applyFont="1" applyFill="1" applyBorder="1" applyAlignment="1">
      <alignment horizontal="center"/>
    </xf>
    <xf numFmtId="0" fontId="18" fillId="0" borderId="62" xfId="17" applyFont="1" applyFill="1" applyBorder="1" applyAlignment="1">
      <alignment horizontal="center" vertical="top"/>
    </xf>
    <xf numFmtId="5" fontId="18" fillId="0" borderId="70" xfId="1" applyNumberFormat="1" applyFont="1" applyFill="1" applyBorder="1" applyAlignment="1">
      <alignment horizontal="right"/>
    </xf>
    <xf numFmtId="5" fontId="18" fillId="0" borderId="70" xfId="1" applyNumberFormat="1" applyFont="1" applyFill="1" applyBorder="1"/>
    <xf numFmtId="0" fontId="16" fillId="0" borderId="63" xfId="17" applyFont="1" applyFill="1" applyBorder="1" applyAlignment="1">
      <alignment vertical="center"/>
    </xf>
    <xf numFmtId="5" fontId="16" fillId="0" borderId="70" xfId="1" applyNumberFormat="1" applyFont="1" applyFill="1" applyBorder="1" applyAlignment="1"/>
    <xf numFmtId="0" fontId="0" fillId="0" borderId="24" xfId="0" applyBorder="1"/>
    <xf numFmtId="0" fontId="0" fillId="0" borderId="22" xfId="0" applyBorder="1"/>
    <xf numFmtId="5" fontId="18" fillId="0" borderId="0" xfId="4" applyNumberFormat="1" applyFont="1" applyFill="1" applyBorder="1" applyAlignment="1">
      <alignment vertical="center" wrapText="1"/>
    </xf>
    <xf numFmtId="5" fontId="18" fillId="0" borderId="0" xfId="4" applyFont="1" applyFill="1" applyBorder="1" applyAlignment="1">
      <alignment vertical="center" wrapText="1"/>
    </xf>
    <xf numFmtId="177" fontId="18" fillId="0" borderId="0" xfId="18" applyNumberFormat="1" applyFont="1" applyFill="1" applyBorder="1" applyAlignment="1">
      <alignment vertical="top"/>
    </xf>
    <xf numFmtId="10" fontId="18" fillId="0" borderId="0" xfId="18" applyFont="1" applyFill="1" applyBorder="1" applyAlignment="1">
      <alignment vertical="top"/>
    </xf>
    <xf numFmtId="175" fontId="18" fillId="0" borderId="0" xfId="0" applyNumberFormat="1" applyFont="1" applyBorder="1"/>
    <xf numFmtId="0" fontId="18" fillId="0" borderId="0" xfId="0" applyFont="1" applyAlignment="1">
      <alignment vertical="center"/>
    </xf>
    <xf numFmtId="165" fontId="23" fillId="0" borderId="0" xfId="1" applyNumberFormat="1" applyFont="1" applyBorder="1" applyAlignment="1">
      <alignment vertical="center"/>
    </xf>
    <xf numFmtId="0" fontId="23" fillId="0" borderId="15" xfId="0" applyFont="1" applyBorder="1" applyAlignment="1">
      <alignment vertical="center" wrapText="1"/>
    </xf>
    <xf numFmtId="0" fontId="23" fillId="0" borderId="21" xfId="0" applyFont="1" applyBorder="1" applyAlignment="1">
      <alignment vertical="center" wrapText="1"/>
    </xf>
    <xf numFmtId="5" fontId="23" fillId="0" borderId="0" xfId="0" applyNumberFormat="1" applyFont="1" applyFill="1" applyBorder="1" applyAlignment="1">
      <alignment vertical="center"/>
    </xf>
    <xf numFmtId="0" fontId="15" fillId="6" borderId="25" xfId="0" applyFont="1" applyFill="1" applyBorder="1" applyAlignment="1">
      <alignment vertical="center"/>
    </xf>
    <xf numFmtId="0" fontId="15" fillId="6" borderId="67" xfId="0" applyFont="1" applyFill="1" applyBorder="1" applyAlignment="1">
      <alignment vertical="center" wrapText="1"/>
    </xf>
    <xf numFmtId="0" fontId="15" fillId="6" borderId="67" xfId="0" applyFont="1" applyFill="1" applyBorder="1" applyAlignment="1">
      <alignment vertical="center"/>
    </xf>
    <xf numFmtId="0" fontId="15" fillId="6" borderId="68" xfId="0" applyFont="1" applyFill="1" applyBorder="1" applyAlignment="1">
      <alignment vertical="center"/>
    </xf>
    <xf numFmtId="0" fontId="15" fillId="6" borderId="16" xfId="0" applyFont="1" applyFill="1" applyBorder="1" applyAlignment="1">
      <alignment vertical="center"/>
    </xf>
    <xf numFmtId="0" fontId="15" fillId="6" borderId="31" xfId="0" applyFont="1" applyFill="1" applyBorder="1" applyAlignment="1">
      <alignment vertical="center"/>
    </xf>
    <xf numFmtId="5" fontId="18" fillId="0" borderId="0" xfId="17" applyNumberFormat="1" applyFont="1" applyAlignment="1">
      <alignment vertical="center"/>
    </xf>
    <xf numFmtId="5" fontId="18" fillId="6" borderId="22" xfId="0" applyNumberFormat="1" applyFont="1" applyFill="1" applyBorder="1" applyAlignment="1"/>
    <xf numFmtId="6" fontId="18" fillId="0" borderId="0" xfId="0" applyNumberFormat="1" applyFont="1"/>
    <xf numFmtId="165" fontId="18" fillId="0" borderId="45" xfId="1" applyNumberFormat="1" applyFont="1" applyFill="1" applyBorder="1" applyAlignment="1">
      <alignment vertical="center"/>
    </xf>
    <xf numFmtId="10" fontId="16" fillId="0" borderId="0" xfId="18" applyFont="1" applyFill="1" applyBorder="1" applyAlignment="1"/>
    <xf numFmtId="0" fontId="16" fillId="0" borderId="63" xfId="17" applyFont="1" applyFill="1" applyBorder="1" applyAlignment="1">
      <alignment vertical="center" wrapText="1"/>
    </xf>
    <xf numFmtId="5" fontId="16" fillId="0" borderId="6" xfId="1" applyNumberFormat="1" applyFont="1" applyFill="1" applyBorder="1" applyAlignment="1"/>
    <xf numFmtId="0" fontId="16" fillId="0" borderId="63" xfId="17" applyFont="1" applyBorder="1" applyAlignment="1">
      <alignment vertical="center" wrapText="1"/>
    </xf>
    <xf numFmtId="165" fontId="18" fillId="0" borderId="0" xfId="1" applyNumberFormat="1" applyFont="1" applyFill="1" applyBorder="1" applyAlignment="1">
      <alignment horizontal="right" vertical="center" wrapText="1"/>
    </xf>
    <xf numFmtId="165" fontId="18" fillId="0" borderId="15" xfId="4" applyNumberFormat="1" applyFont="1" applyFill="1" applyBorder="1" applyAlignment="1">
      <alignment horizontal="right" vertical="center"/>
    </xf>
    <xf numFmtId="0" fontId="18" fillId="6" borderId="72" xfId="0" applyFont="1" applyFill="1" applyBorder="1" applyAlignment="1">
      <alignment vertical="center"/>
    </xf>
    <xf numFmtId="0" fontId="18" fillId="6" borderId="29" xfId="0" applyFont="1" applyFill="1" applyBorder="1" applyAlignment="1">
      <alignment vertical="center"/>
    </xf>
    <xf numFmtId="0" fontId="18" fillId="6" borderId="72" xfId="0" applyFont="1" applyFill="1" applyBorder="1" applyAlignment="1">
      <alignment vertical="center" wrapText="1"/>
    </xf>
    <xf numFmtId="0" fontId="18" fillId="6" borderId="73" xfId="0" applyFont="1" applyFill="1" applyBorder="1" applyAlignment="1">
      <alignment vertical="center"/>
    </xf>
    <xf numFmtId="0" fontId="18" fillId="6" borderId="1" xfId="0" applyFont="1" applyFill="1" applyBorder="1" applyAlignment="1">
      <alignment vertical="center"/>
    </xf>
    <xf numFmtId="0" fontId="16" fillId="0" borderId="13" xfId="17" applyFont="1" applyBorder="1" applyAlignment="1">
      <alignment horizontal="center" vertical="center" wrapText="1"/>
    </xf>
    <xf numFmtId="0" fontId="16" fillId="0" borderId="17" xfId="17" applyFont="1" applyBorder="1" applyAlignment="1">
      <alignment horizontal="center" vertical="center" wrapText="1"/>
    </xf>
    <xf numFmtId="0" fontId="16" fillId="0" borderId="11" xfId="17" applyFont="1" applyBorder="1" applyAlignment="1">
      <alignment horizontal="center" vertical="center" wrapText="1"/>
    </xf>
    <xf numFmtId="0" fontId="16" fillId="0" borderId="71" xfId="17" applyFont="1" applyBorder="1" applyAlignment="1">
      <alignment horizontal="center" vertical="center" wrapText="1"/>
    </xf>
    <xf numFmtId="0" fontId="16" fillId="0" borderId="11" xfId="17" applyFont="1" applyFill="1" applyBorder="1" applyAlignment="1">
      <alignment horizontal="center" vertical="center" wrapText="1"/>
    </xf>
    <xf numFmtId="0" fontId="16" fillId="0" borderId="17" xfId="17" applyFont="1" applyFill="1" applyBorder="1" applyAlignment="1">
      <alignment horizontal="center" vertical="center" wrapText="1"/>
    </xf>
    <xf numFmtId="0" fontId="16" fillId="0" borderId="71" xfId="17" applyFont="1" applyFill="1" applyBorder="1" applyAlignment="1">
      <alignment horizontal="center" vertical="center" wrapText="1"/>
    </xf>
    <xf numFmtId="171" fontId="16" fillId="0" borderId="1" xfId="0" applyNumberFormat="1" applyFont="1" applyBorder="1" applyAlignment="1">
      <alignment horizontal="center" vertical="center" wrapText="1"/>
    </xf>
    <xf numFmtId="171" fontId="16" fillId="0" borderId="89" xfId="0" applyNumberFormat="1" applyFont="1" applyBorder="1" applyAlignment="1">
      <alignment horizontal="center" vertical="center" wrapText="1"/>
    </xf>
    <xf numFmtId="179" fontId="33" fillId="8" borderId="0" xfId="0" applyNumberFormat="1" applyFont="1" applyFill="1" applyAlignment="1">
      <alignment horizontal="right"/>
    </xf>
    <xf numFmtId="179" fontId="18" fillId="0" borderId="0" xfId="0" applyNumberFormat="1" applyFont="1"/>
    <xf numFmtId="0" fontId="18" fillId="0" borderId="116" xfId="17" applyFont="1" applyFill="1" applyBorder="1" applyAlignment="1">
      <alignment horizontal="center" vertical="center" wrapText="1"/>
    </xf>
    <xf numFmtId="10" fontId="18" fillId="0" borderId="0" xfId="18" applyFont="1" applyFill="1" applyBorder="1"/>
    <xf numFmtId="5" fontId="16" fillId="0" borderId="0" xfId="28" applyNumberFormat="1" applyFont="1" applyAlignment="1">
      <alignment vertical="center"/>
    </xf>
    <xf numFmtId="180" fontId="18" fillId="0" borderId="0" xfId="28" applyNumberFormat="1" applyFont="1" applyAlignment="1">
      <alignment vertical="top" wrapText="1"/>
    </xf>
    <xf numFmtId="0" fontId="18" fillId="0" borderId="0" xfId="17" applyFont="1" applyFill="1" applyBorder="1" applyAlignment="1">
      <alignment horizontal="left" wrapText="1"/>
    </xf>
    <xf numFmtId="0" fontId="18" fillId="0" borderId="0" xfId="0" applyFont="1" applyFill="1" applyBorder="1" applyAlignment="1">
      <alignment horizontal="left"/>
    </xf>
    <xf numFmtId="0" fontId="18" fillId="0" borderId="0" xfId="0" quotePrefix="1" applyFont="1" applyAlignment="1">
      <alignment vertical="center"/>
    </xf>
    <xf numFmtId="165" fontId="18" fillId="0" borderId="0" xfId="18" applyNumberFormat="1" applyFont="1" applyAlignment="1">
      <alignment vertical="center"/>
    </xf>
    <xf numFmtId="0" fontId="16" fillId="0" borderId="0" xfId="28" applyFont="1" applyAlignment="1">
      <alignment vertical="center"/>
    </xf>
    <xf numFmtId="165" fontId="34" fillId="0" borderId="0" xfId="1" applyNumberFormat="1" applyFont="1" applyFill="1" applyBorder="1" applyAlignment="1">
      <alignment vertical="center"/>
    </xf>
    <xf numFmtId="165" fontId="34" fillId="0" borderId="22" xfId="1" applyNumberFormat="1" applyFont="1" applyFill="1" applyBorder="1" applyAlignment="1">
      <alignment horizontal="right" vertical="center"/>
    </xf>
    <xf numFmtId="5" fontId="16" fillId="0" borderId="0" xfId="0" applyNumberFormat="1" applyFont="1" applyAlignment="1">
      <alignment vertical="center" wrapText="1"/>
    </xf>
    <xf numFmtId="0" fontId="8" fillId="0" borderId="0" xfId="0" applyFont="1" applyAlignment="1">
      <alignment wrapText="1"/>
    </xf>
    <xf numFmtId="0" fontId="15" fillId="0" borderId="0" xfId="0" applyFont="1" applyAlignment="1">
      <alignment wrapText="1"/>
    </xf>
    <xf numFmtId="0" fontId="15" fillId="0" borderId="0" xfId="17" applyFont="1" applyAlignment="1">
      <alignment wrapText="1"/>
    </xf>
    <xf numFmtId="0" fontId="15" fillId="0" borderId="0" xfId="0" applyFont="1" applyAlignment="1">
      <alignment vertical="center" wrapText="1"/>
    </xf>
    <xf numFmtId="5" fontId="34" fillId="0" borderId="0" xfId="4" applyNumberFormat="1" applyFont="1" applyFill="1" applyBorder="1" applyAlignment="1">
      <alignment vertical="center" wrapText="1"/>
    </xf>
    <xf numFmtId="5" fontId="34" fillId="0" borderId="0" xfId="4" applyFont="1" applyFill="1" applyBorder="1" applyAlignment="1">
      <alignment vertical="center" wrapText="1"/>
    </xf>
    <xf numFmtId="5" fontId="34" fillId="0" borderId="6" xfId="1" applyNumberFormat="1" applyFont="1" applyFill="1" applyBorder="1"/>
    <xf numFmtId="5" fontId="34" fillId="0" borderId="18" xfId="1" applyNumberFormat="1" applyFont="1" applyFill="1" applyBorder="1" applyAlignment="1">
      <alignment horizontal="right"/>
    </xf>
    <xf numFmtId="5" fontId="34" fillId="0" borderId="70" xfId="17" applyNumberFormat="1" applyFont="1" applyFill="1" applyBorder="1"/>
    <xf numFmtId="5" fontId="34" fillId="0" borderId="6" xfId="17" applyNumberFormat="1" applyFont="1" applyFill="1" applyBorder="1"/>
    <xf numFmtId="5" fontId="34" fillId="0" borderId="18" xfId="17" applyNumberFormat="1" applyFont="1" applyFill="1" applyBorder="1"/>
    <xf numFmtId="5" fontId="34" fillId="0" borderId="0" xfId="17" applyNumberFormat="1" applyFont="1" applyFill="1" applyBorder="1"/>
    <xf numFmtId="165" fontId="34" fillId="0" borderId="6" xfId="1" applyNumberFormat="1" applyFont="1" applyFill="1" applyBorder="1" applyAlignment="1">
      <alignment vertical="center"/>
    </xf>
    <xf numFmtId="165" fontId="34" fillId="0" borderId="70" xfId="1" applyNumberFormat="1" applyFont="1" applyFill="1" applyBorder="1" applyAlignment="1">
      <alignment vertical="center"/>
    </xf>
    <xf numFmtId="5" fontId="34" fillId="0" borderId="22" xfId="17" applyNumberFormat="1" applyFont="1" applyFill="1" applyBorder="1"/>
    <xf numFmtId="5" fontId="34" fillId="0" borderId="0" xfId="4" applyNumberFormat="1" applyFont="1" applyFill="1" applyBorder="1" applyAlignment="1">
      <alignment vertical="center"/>
    </xf>
    <xf numFmtId="5" fontId="34" fillId="0" borderId="1" xfId="4" applyNumberFormat="1" applyFont="1" applyFill="1" applyBorder="1" applyAlignment="1">
      <alignment vertical="center"/>
    </xf>
    <xf numFmtId="37" fontId="34" fillId="0" borderId="22" xfId="1" applyNumberFormat="1" applyFont="1" applyFill="1" applyBorder="1"/>
    <xf numFmtId="165" fontId="34" fillId="0" borderId="83" xfId="1" applyNumberFormat="1" applyFont="1" applyFill="1" applyBorder="1" applyAlignment="1">
      <alignment vertical="center"/>
    </xf>
    <xf numFmtId="165" fontId="34" fillId="0" borderId="84" xfId="1" applyNumberFormat="1" applyFont="1" applyFill="1" applyBorder="1" applyAlignment="1">
      <alignment horizontal="right" vertical="center"/>
    </xf>
    <xf numFmtId="37" fontId="34" fillId="0" borderId="56" xfId="1" applyNumberFormat="1" applyFont="1" applyFill="1" applyBorder="1"/>
    <xf numFmtId="5" fontId="34" fillId="0" borderId="39" xfId="17" applyNumberFormat="1" applyFont="1" applyFill="1" applyBorder="1"/>
    <xf numFmtId="5" fontId="34" fillId="0" borderId="20" xfId="17" applyNumberFormat="1" applyFont="1" applyFill="1" applyBorder="1"/>
    <xf numFmtId="5" fontId="34" fillId="0" borderId="19" xfId="17" applyNumberFormat="1" applyFont="1" applyFill="1" applyBorder="1"/>
    <xf numFmtId="5" fontId="34" fillId="0" borderId="56" xfId="17" applyNumberFormat="1" applyFont="1" applyFill="1" applyBorder="1"/>
    <xf numFmtId="0" fontId="18" fillId="0" borderId="0" xfId="0" applyFont="1" applyAlignment="1">
      <alignment horizontal="right" vertical="center" wrapText="1"/>
    </xf>
    <xf numFmtId="172" fontId="35" fillId="0" borderId="0" xfId="1" applyFont="1"/>
    <xf numFmtId="172" fontId="18" fillId="0" borderId="28" xfId="1" applyFont="1" applyFill="1" applyBorder="1" applyAlignment="1">
      <alignment vertical="center"/>
    </xf>
    <xf numFmtId="172" fontId="18" fillId="0" borderId="1" xfId="1" applyFont="1" applyFill="1" applyBorder="1" applyAlignment="1">
      <alignment vertical="center"/>
    </xf>
    <xf numFmtId="0" fontId="16" fillId="4" borderId="0" xfId="17" applyFont="1" applyFill="1" applyBorder="1" applyAlignment="1">
      <alignment vertical="center"/>
    </xf>
    <xf numFmtId="10" fontId="16" fillId="0" borderId="0" xfId="18" applyFont="1" applyFill="1" applyBorder="1" applyAlignment="1">
      <alignment vertical="center"/>
    </xf>
    <xf numFmtId="10" fontId="18" fillId="0" borderId="0" xfId="18" applyNumberFormat="1" applyFont="1" applyAlignment="1">
      <alignment vertical="center"/>
    </xf>
    <xf numFmtId="5" fontId="18" fillId="0" borderId="18" xfId="1" applyNumberFormat="1" applyFont="1" applyFill="1" applyBorder="1" applyAlignment="1"/>
    <xf numFmtId="5" fontId="18" fillId="0" borderId="22" xfId="4" applyFont="1" applyFill="1" applyBorder="1" applyAlignment="1">
      <alignment vertical="top"/>
    </xf>
    <xf numFmtId="5" fontId="18" fillId="0" borderId="6" xfId="4" applyFont="1" applyFill="1" applyBorder="1" applyAlignment="1"/>
    <xf numFmtId="5" fontId="18" fillId="0" borderId="15" xfId="1" applyNumberFormat="1" applyFont="1" applyFill="1" applyBorder="1" applyAlignment="1">
      <alignment vertical="center"/>
    </xf>
    <xf numFmtId="5" fontId="18" fillId="0" borderId="27" xfId="4" applyNumberFormat="1" applyFont="1" applyFill="1" applyBorder="1" applyAlignment="1">
      <alignment vertical="center"/>
    </xf>
    <xf numFmtId="5" fontId="23" fillId="0" borderId="15" xfId="4" applyFont="1" applyFill="1" applyBorder="1" applyAlignment="1">
      <alignment vertical="center"/>
    </xf>
    <xf numFmtId="5" fontId="18" fillId="0" borderId="21" xfId="4" applyNumberFormat="1" applyFont="1" applyFill="1" applyBorder="1" applyAlignment="1">
      <alignment vertical="center"/>
    </xf>
    <xf numFmtId="165" fontId="23" fillId="0" borderId="25" xfId="1" applyNumberFormat="1" applyFont="1" applyFill="1" applyBorder="1" applyAlignment="1">
      <alignment vertical="center"/>
    </xf>
    <xf numFmtId="165" fontId="23" fillId="0" borderId="24" xfId="1" applyNumberFormat="1" applyFont="1" applyFill="1" applyBorder="1" applyAlignment="1">
      <alignment vertical="center"/>
    </xf>
    <xf numFmtId="165" fontId="18" fillId="0" borderId="26" xfId="1" applyNumberFormat="1" applyFont="1" applyFill="1" applyBorder="1" applyAlignment="1">
      <alignment vertical="center"/>
    </xf>
    <xf numFmtId="172" fontId="18" fillId="4" borderId="0" xfId="0" applyNumberFormat="1" applyFont="1" applyFill="1"/>
    <xf numFmtId="0" fontId="18" fillId="4" borderId="0" xfId="0" applyFont="1" applyFill="1"/>
    <xf numFmtId="5" fontId="18" fillId="0" borderId="19" xfId="4" applyFont="1" applyFill="1" applyBorder="1" applyAlignment="1">
      <alignment vertical="center"/>
    </xf>
    <xf numFmtId="5" fontId="18" fillId="0" borderId="10" xfId="4" applyFont="1" applyFill="1" applyBorder="1" applyAlignment="1">
      <alignment vertical="center"/>
    </xf>
    <xf numFmtId="5" fontId="18" fillId="0" borderId="126" xfId="4" applyFont="1" applyFill="1" applyBorder="1" applyAlignment="1">
      <alignment vertical="center"/>
    </xf>
    <xf numFmtId="5" fontId="18" fillId="0" borderId="42" xfId="4" applyFont="1" applyFill="1" applyBorder="1" applyAlignment="1">
      <alignment vertical="center"/>
    </xf>
    <xf numFmtId="0" fontId="57" fillId="0" borderId="0" xfId="0" applyFont="1"/>
    <xf numFmtId="10" fontId="15" fillId="0" borderId="0" xfId="18" applyFont="1" applyFill="1" applyBorder="1" applyAlignment="1">
      <alignment horizontal="left"/>
    </xf>
    <xf numFmtId="165" fontId="18" fillId="0" borderId="15" xfId="1" applyNumberFormat="1" applyFont="1" applyFill="1" applyBorder="1" applyAlignment="1">
      <alignment horizontal="right" vertical="center"/>
    </xf>
    <xf numFmtId="7" fontId="18" fillId="0" borderId="6" xfId="17" applyNumberFormat="1" applyFont="1" applyFill="1" applyBorder="1"/>
    <xf numFmtId="7" fontId="34" fillId="0" borderId="6" xfId="17" applyNumberFormat="1" applyFont="1" applyFill="1" applyBorder="1"/>
    <xf numFmtId="7" fontId="34" fillId="0" borderId="19" xfId="17" applyNumberFormat="1" applyFont="1" applyFill="1" applyBorder="1"/>
    <xf numFmtId="5" fontId="16" fillId="0" borderId="28" xfId="4" applyFont="1" applyFill="1" applyBorder="1" applyAlignment="1">
      <alignment horizontal="center" vertical="center" wrapText="1"/>
    </xf>
    <xf numFmtId="0" fontId="18" fillId="0" borderId="27" xfId="0" applyFont="1" applyBorder="1" applyAlignment="1">
      <alignment horizontal="center" vertical="center" textRotation="90" wrapText="1"/>
    </xf>
    <xf numFmtId="0" fontId="18" fillId="0" borderId="15" xfId="0" applyFont="1" applyBorder="1" applyAlignment="1">
      <alignment horizontal="center" vertical="center" textRotation="90" wrapText="1"/>
    </xf>
    <xf numFmtId="0" fontId="18" fillId="0" borderId="21" xfId="0" applyFont="1" applyBorder="1" applyAlignment="1">
      <alignment horizontal="center" vertical="center" textRotation="90" wrapText="1"/>
    </xf>
    <xf numFmtId="0" fontId="18" fillId="0" borderId="27" xfId="0" applyFont="1" applyFill="1" applyBorder="1" applyAlignment="1">
      <alignment horizontal="center" vertical="center"/>
    </xf>
    <xf numFmtId="0" fontId="18" fillId="0" borderId="21" xfId="0" applyFont="1" applyFill="1" applyBorder="1" applyAlignment="1">
      <alignment horizontal="center" vertical="center"/>
    </xf>
    <xf numFmtId="0" fontId="18" fillId="6" borderId="25" xfId="0" applyFont="1" applyFill="1" applyBorder="1" applyAlignment="1">
      <alignment horizontal="left" vertical="center"/>
    </xf>
    <xf numFmtId="0" fontId="18" fillId="6" borderId="16" xfId="0" applyFont="1" applyFill="1" applyBorder="1" applyAlignment="1">
      <alignment horizontal="left" vertical="center"/>
    </xf>
    <xf numFmtId="0" fontId="18" fillId="6" borderId="31" xfId="0" applyFont="1" applyFill="1" applyBorder="1" applyAlignment="1">
      <alignment horizontal="left" vertical="center"/>
    </xf>
    <xf numFmtId="0" fontId="18" fillId="6" borderId="24" xfId="0" applyFont="1" applyFill="1" applyBorder="1" applyAlignment="1">
      <alignment horizontal="left" vertical="top" wrapText="1"/>
    </xf>
    <xf numFmtId="0" fontId="18" fillId="6" borderId="0" xfId="0" applyFont="1" applyFill="1" applyBorder="1" applyAlignment="1">
      <alignment horizontal="left" vertical="top" wrapText="1"/>
    </xf>
    <xf numFmtId="0" fontId="18" fillId="6" borderId="22" xfId="0" applyFont="1" applyFill="1" applyBorder="1" applyAlignment="1">
      <alignment horizontal="left" vertical="top" wrapText="1"/>
    </xf>
    <xf numFmtId="0" fontId="16" fillId="0" borderId="0" xfId="16" applyFont="1" applyBorder="1" applyAlignment="1">
      <alignment horizontal="center" vertical="center"/>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8" fillId="0" borderId="0" xfId="28" applyFont="1" applyAlignment="1">
      <alignment horizontal="left" vertical="top" wrapText="1"/>
    </xf>
    <xf numFmtId="0" fontId="16" fillId="0" borderId="29" xfId="28" applyFont="1" applyBorder="1" applyAlignment="1">
      <alignment horizontal="center" vertical="center"/>
    </xf>
    <xf numFmtId="0" fontId="16" fillId="0" borderId="1" xfId="28" applyFont="1" applyBorder="1" applyAlignment="1">
      <alignment horizontal="center" vertical="center"/>
    </xf>
    <xf numFmtId="0" fontId="16" fillId="0" borderId="30" xfId="28" applyFont="1" applyBorder="1" applyAlignment="1">
      <alignment horizontal="center" vertical="center"/>
    </xf>
    <xf numFmtId="0" fontId="16" fillId="0" borderId="25" xfId="28" applyFont="1" applyBorder="1" applyAlignment="1">
      <alignment horizontal="center" vertical="center" textRotation="90" wrapText="1"/>
    </xf>
    <xf numFmtId="0" fontId="16" fillId="0" borderId="24" xfId="28" applyFont="1" applyBorder="1" applyAlignment="1">
      <alignment horizontal="center" vertical="center" textRotation="90" wrapText="1"/>
    </xf>
    <xf numFmtId="0" fontId="16" fillId="0" borderId="26" xfId="28" applyFont="1" applyBorder="1" applyAlignment="1">
      <alignment horizontal="center" vertical="center" textRotation="90" wrapText="1"/>
    </xf>
    <xf numFmtId="0" fontId="16" fillId="0" borderId="29" xfId="28" applyFont="1" applyBorder="1" applyAlignment="1">
      <alignment horizontal="center" vertical="center" wrapText="1"/>
    </xf>
    <xf numFmtId="0" fontId="16" fillId="0" borderId="1" xfId="28" applyFont="1" applyBorder="1" applyAlignment="1">
      <alignment horizontal="center" vertical="center" wrapText="1"/>
    </xf>
    <xf numFmtId="0" fontId="18" fillId="6" borderId="25" xfId="28" applyFont="1" applyFill="1" applyBorder="1" applyAlignment="1">
      <alignment horizontal="left" vertical="center"/>
    </xf>
    <xf numFmtId="0" fontId="18" fillId="6" borderId="16" xfId="28" applyFont="1" applyFill="1" applyBorder="1" applyAlignment="1">
      <alignment horizontal="left" vertical="center"/>
    </xf>
    <xf numFmtId="0" fontId="23" fillId="0" borderId="0" xfId="29" applyFont="1" applyAlignment="1">
      <alignment vertical="top"/>
    </xf>
    <xf numFmtId="0" fontId="18" fillId="0" borderId="0" xfId="29" applyFont="1"/>
    <xf numFmtId="0" fontId="16" fillId="0" borderId="50" xfId="29" applyFont="1" applyBorder="1" applyAlignment="1">
      <alignment horizontal="center" vertical="center"/>
    </xf>
    <xf numFmtId="0" fontId="16" fillId="0" borderId="51" xfId="29" applyFont="1" applyBorder="1" applyAlignment="1">
      <alignment horizontal="center" vertical="center"/>
    </xf>
    <xf numFmtId="0" fontId="16" fillId="0" borderId="52" xfId="29" applyFont="1" applyBorder="1" applyAlignment="1">
      <alignment horizontal="center" vertical="center"/>
    </xf>
    <xf numFmtId="0" fontId="15" fillId="0" borderId="85" xfId="17" applyFont="1" applyFill="1" applyBorder="1" applyAlignment="1">
      <alignment horizontal="left" vertical="center"/>
    </xf>
    <xf numFmtId="0" fontId="15" fillId="0" borderId="59" xfId="17" applyFont="1" applyFill="1" applyBorder="1" applyAlignment="1">
      <alignment horizontal="left" vertical="center"/>
    </xf>
    <xf numFmtId="0" fontId="15" fillId="0" borderId="86" xfId="17" applyFont="1" applyFill="1" applyBorder="1" applyAlignment="1">
      <alignment horizontal="left" vertical="center"/>
    </xf>
    <xf numFmtId="0" fontId="15" fillId="0" borderId="24" xfId="17" applyFont="1" applyFill="1" applyBorder="1" applyAlignment="1">
      <alignment horizontal="left" vertical="center" wrapText="1"/>
    </xf>
    <xf numFmtId="0" fontId="15" fillId="0" borderId="0" xfId="17" applyFont="1" applyFill="1" applyBorder="1" applyAlignment="1">
      <alignment horizontal="left" vertical="center" wrapText="1"/>
    </xf>
    <xf numFmtId="0" fontId="15" fillId="0" borderId="22" xfId="17" applyFont="1" applyFill="1" applyBorder="1" applyAlignment="1">
      <alignment horizontal="left" vertical="center" wrapText="1"/>
    </xf>
    <xf numFmtId="0" fontId="15" fillId="0" borderId="87" xfId="17" applyFont="1" applyFill="1" applyBorder="1" applyAlignment="1">
      <alignment horizontal="left" vertical="center" wrapText="1"/>
    </xf>
    <xf numFmtId="0" fontId="15" fillId="0" borderId="48" xfId="17" applyFont="1" applyFill="1" applyBorder="1" applyAlignment="1">
      <alignment horizontal="left" vertical="center" wrapText="1"/>
    </xf>
    <xf numFmtId="0" fontId="15" fillId="0" borderId="88" xfId="17" applyFont="1" applyFill="1" applyBorder="1" applyAlignment="1">
      <alignment horizontal="left" vertical="center" wrapText="1"/>
    </xf>
    <xf numFmtId="0" fontId="15" fillId="6" borderId="26" xfId="17" applyFont="1" applyFill="1" applyBorder="1" applyAlignment="1">
      <alignment horizontal="left" vertical="center" wrapText="1"/>
    </xf>
    <xf numFmtId="0" fontId="15" fillId="6" borderId="28" xfId="17" applyFont="1" applyFill="1" applyBorder="1" applyAlignment="1">
      <alignment horizontal="left" vertical="center" wrapText="1"/>
    </xf>
    <xf numFmtId="0" fontId="15" fillId="6" borderId="32" xfId="17" applyFont="1" applyFill="1" applyBorder="1" applyAlignment="1">
      <alignment horizontal="left" vertical="center" wrapText="1"/>
    </xf>
    <xf numFmtId="0" fontId="15" fillId="7" borderId="0" xfId="17" applyFont="1" applyFill="1" applyBorder="1" applyAlignment="1">
      <alignment horizontal="left" vertical="center" wrapText="1"/>
    </xf>
    <xf numFmtId="0" fontId="15" fillId="7" borderId="0" xfId="17" applyFont="1" applyFill="1" applyBorder="1" applyAlignment="1">
      <alignment horizontal="left" vertical="top" wrapText="1"/>
    </xf>
    <xf numFmtId="0" fontId="16" fillId="0" borderId="25" xfId="0" applyFont="1" applyBorder="1" applyAlignment="1">
      <alignment horizontal="center" vertical="center"/>
    </xf>
    <xf numFmtId="0" fontId="16" fillId="0" borderId="16" xfId="0" applyFont="1" applyBorder="1" applyAlignment="1">
      <alignment horizontal="center" vertical="center"/>
    </xf>
    <xf numFmtId="0" fontId="16" fillId="0" borderId="31" xfId="0" applyFont="1" applyBorder="1" applyAlignment="1">
      <alignment horizontal="center" vertical="center"/>
    </xf>
    <xf numFmtId="0" fontId="0" fillId="0" borderId="0" xfId="0" applyBorder="1" applyAlignment="1">
      <alignment horizontal="left"/>
    </xf>
    <xf numFmtId="0" fontId="15" fillId="6" borderId="25" xfId="17" applyFont="1" applyFill="1" applyBorder="1" applyAlignment="1">
      <alignment horizontal="left" vertical="center"/>
    </xf>
    <xf numFmtId="0" fontId="15" fillId="6" borderId="16" xfId="17" applyFont="1" applyFill="1" applyBorder="1" applyAlignment="1">
      <alignment horizontal="left" vertical="center"/>
    </xf>
    <xf numFmtId="0" fontId="15" fillId="6" borderId="31" xfId="17" applyFont="1" applyFill="1" applyBorder="1" applyAlignment="1">
      <alignment horizontal="left" vertical="center"/>
    </xf>
    <xf numFmtId="0" fontId="15" fillId="6" borderId="24" xfId="17" applyFont="1" applyFill="1" applyBorder="1" applyAlignment="1">
      <alignment horizontal="left" vertical="center"/>
    </xf>
    <xf numFmtId="0" fontId="15" fillId="6" borderId="0" xfId="17" applyFont="1" applyFill="1" applyBorder="1" applyAlignment="1">
      <alignment horizontal="left" vertical="center"/>
    </xf>
    <xf numFmtId="0" fontId="15" fillId="6" borderId="22" xfId="17" applyFont="1" applyFill="1" applyBorder="1" applyAlignment="1">
      <alignment horizontal="left" vertical="center"/>
    </xf>
    <xf numFmtId="0" fontId="18" fillId="6" borderId="26" xfId="0" applyFont="1" applyFill="1" applyBorder="1" applyAlignment="1">
      <alignment horizontal="left"/>
    </xf>
    <xf numFmtId="0" fontId="18" fillId="6" borderId="28" xfId="0" applyFont="1" applyFill="1" applyBorder="1" applyAlignment="1">
      <alignment horizontal="left"/>
    </xf>
    <xf numFmtId="0" fontId="18" fillId="6" borderId="32" xfId="0" applyFont="1" applyFill="1" applyBorder="1" applyAlignment="1">
      <alignment horizontal="left"/>
    </xf>
    <xf numFmtId="0" fontId="16" fillId="0" borderId="29" xfId="0" applyFont="1" applyBorder="1" applyAlignment="1">
      <alignment horizontal="center"/>
    </xf>
    <xf numFmtId="0" fontId="16" fillId="0" borderId="1" xfId="0" applyFont="1" applyBorder="1" applyAlignment="1">
      <alignment horizontal="center"/>
    </xf>
    <xf numFmtId="0" fontId="16" fillId="0" borderId="30" xfId="0" applyFont="1" applyBorder="1" applyAlignment="1">
      <alignment horizontal="center"/>
    </xf>
    <xf numFmtId="0" fontId="16" fillId="0" borderId="27" xfId="0" applyFont="1" applyBorder="1" applyAlignment="1">
      <alignment horizontal="center" vertical="center" textRotation="89"/>
    </xf>
    <xf numFmtId="0" fontId="16" fillId="0" borderId="15" xfId="0" applyFont="1" applyBorder="1" applyAlignment="1">
      <alignment horizontal="center" vertical="center" textRotation="89"/>
    </xf>
    <xf numFmtId="0" fontId="16" fillId="0" borderId="21" xfId="0" applyFont="1" applyBorder="1" applyAlignment="1">
      <alignment horizontal="center" vertical="center" textRotation="89"/>
    </xf>
    <xf numFmtId="0" fontId="18" fillId="6" borderId="25" xfId="0" applyFont="1" applyFill="1" applyBorder="1" applyAlignment="1">
      <alignment horizontal="left"/>
    </xf>
    <xf numFmtId="0" fontId="18" fillId="6" borderId="16" xfId="0" applyFont="1" applyFill="1" applyBorder="1" applyAlignment="1">
      <alignment horizontal="left"/>
    </xf>
    <xf numFmtId="0" fontId="18" fillId="6" borderId="31" xfId="0" applyFont="1" applyFill="1" applyBorder="1" applyAlignment="1">
      <alignment horizontal="left"/>
    </xf>
    <xf numFmtId="0" fontId="16" fillId="0" borderId="29" xfId="0" applyFont="1" applyBorder="1" applyAlignment="1">
      <alignment horizontal="left"/>
    </xf>
    <xf numFmtId="0" fontId="16" fillId="0" borderId="30" xfId="0" applyFont="1" applyBorder="1" applyAlignment="1">
      <alignment horizontal="left"/>
    </xf>
    <xf numFmtId="0" fontId="16" fillId="0" borderId="50" xfId="17" applyNumberFormat="1" applyFont="1" applyFill="1" applyBorder="1" applyAlignment="1">
      <alignment horizontal="center" vertical="center" wrapText="1"/>
    </xf>
    <xf numFmtId="0" fontId="18" fillId="0" borderId="51" xfId="0" applyFont="1" applyFill="1" applyBorder="1" applyAlignment="1">
      <alignment horizontal="center" vertical="center" wrapText="1"/>
    </xf>
    <xf numFmtId="0" fontId="18" fillId="0" borderId="52" xfId="0" applyFont="1" applyFill="1" applyBorder="1" applyAlignment="1">
      <alignment horizontal="center" vertical="center" wrapText="1"/>
    </xf>
    <xf numFmtId="0" fontId="16" fillId="0" borderId="29" xfId="17" applyNumberFormat="1" applyFont="1" applyFill="1" applyBorder="1" applyAlignment="1">
      <alignment horizontal="center" vertical="center" wrapText="1"/>
    </xf>
    <xf numFmtId="0" fontId="16" fillId="0" borderId="1" xfId="17" applyNumberFormat="1" applyFont="1" applyFill="1" applyBorder="1" applyAlignment="1">
      <alignment horizontal="center" vertical="center" wrapText="1"/>
    </xf>
    <xf numFmtId="0" fontId="16" fillId="0" borderId="30" xfId="17" applyNumberFormat="1" applyFont="1" applyFill="1" applyBorder="1" applyAlignment="1">
      <alignment horizontal="center" vertical="center" wrapText="1"/>
    </xf>
    <xf numFmtId="10" fontId="18" fillId="0" borderId="7" xfId="18" applyFont="1" applyFill="1" applyBorder="1" applyAlignment="1">
      <alignment horizontal="center" wrapText="1"/>
    </xf>
    <xf numFmtId="10" fontId="18" fillId="0" borderId="13" xfId="18" applyFont="1" applyFill="1" applyBorder="1" applyAlignment="1">
      <alignment horizontal="center" wrapText="1"/>
    </xf>
    <xf numFmtId="10" fontId="18" fillId="0" borderId="58" xfId="18" applyFont="1" applyFill="1" applyBorder="1" applyAlignment="1">
      <alignment horizontal="center" wrapText="1"/>
    </xf>
    <xf numFmtId="10" fontId="18" fillId="0" borderId="96" xfId="18" applyFont="1" applyFill="1" applyBorder="1" applyAlignment="1">
      <alignment horizontal="center" wrapText="1"/>
    </xf>
    <xf numFmtId="10" fontId="18" fillId="0" borderId="28" xfId="18" applyFont="1" applyFill="1" applyBorder="1" applyAlignment="1">
      <alignment horizontal="center" wrapText="1"/>
    </xf>
    <xf numFmtId="10" fontId="18" fillId="0" borderId="32" xfId="18" applyFont="1" applyFill="1" applyBorder="1" applyAlignment="1">
      <alignment horizontal="center" wrapText="1"/>
    </xf>
    <xf numFmtId="0" fontId="15" fillId="6" borderId="26" xfId="17" applyFont="1" applyFill="1" applyBorder="1" applyAlignment="1">
      <alignment horizontal="left" vertical="top" wrapText="1"/>
    </xf>
    <xf numFmtId="0" fontId="15" fillId="6" borderId="28" xfId="17" applyFont="1" applyFill="1" applyBorder="1" applyAlignment="1">
      <alignment horizontal="left" vertical="top" wrapText="1"/>
    </xf>
    <xf numFmtId="0" fontId="15" fillId="6" borderId="32" xfId="17" applyFont="1" applyFill="1" applyBorder="1" applyAlignment="1">
      <alignment horizontal="left" vertical="top" wrapText="1"/>
    </xf>
    <xf numFmtId="0" fontId="18" fillId="0" borderId="24" xfId="17" applyFont="1" applyFill="1" applyBorder="1" applyAlignment="1">
      <alignment horizontal="left" wrapText="1"/>
    </xf>
    <xf numFmtId="0" fontId="18" fillId="0" borderId="0" xfId="17" applyFont="1" applyFill="1" applyBorder="1" applyAlignment="1">
      <alignment horizontal="left" wrapText="1"/>
    </xf>
    <xf numFmtId="0" fontId="18" fillId="0" borderId="24" xfId="0" applyFont="1" applyFill="1" applyBorder="1" applyAlignment="1">
      <alignment horizontal="left"/>
    </xf>
    <xf numFmtId="0" fontId="18" fillId="0" borderId="0" xfId="0" applyFont="1" applyFill="1" applyBorder="1" applyAlignment="1">
      <alignment horizontal="left"/>
    </xf>
    <xf numFmtId="0" fontId="18" fillId="0" borderId="6" xfId="0" applyFont="1" applyFill="1" applyBorder="1" applyAlignment="1">
      <alignment horizontal="left"/>
    </xf>
    <xf numFmtId="0" fontId="15" fillId="6" borderId="60" xfId="17" applyFont="1" applyFill="1" applyBorder="1" applyAlignment="1">
      <alignment horizontal="left" vertical="center" wrapText="1"/>
    </xf>
    <xf numFmtId="0" fontId="15" fillId="6" borderId="49" xfId="17" applyFont="1" applyFill="1" applyBorder="1" applyAlignment="1">
      <alignment horizontal="left" vertical="center" wrapText="1"/>
    </xf>
    <xf numFmtId="0" fontId="15" fillId="6" borderId="61" xfId="17" applyFont="1" applyFill="1" applyBorder="1" applyAlignment="1">
      <alignment horizontal="left" vertical="center" wrapText="1"/>
    </xf>
    <xf numFmtId="0" fontId="18" fillId="0" borderId="87" xfId="0" applyFont="1" applyFill="1" applyBorder="1" applyAlignment="1">
      <alignment horizontal="center"/>
    </xf>
    <xf numFmtId="0" fontId="18" fillId="0" borderId="48" xfId="0" applyFont="1" applyFill="1" applyBorder="1" applyAlignment="1">
      <alignment horizontal="center"/>
    </xf>
    <xf numFmtId="0" fontId="18" fillId="0" borderId="88" xfId="0" applyFont="1" applyFill="1" applyBorder="1" applyAlignment="1">
      <alignment horizontal="center"/>
    </xf>
    <xf numFmtId="37" fontId="18" fillId="0" borderId="28" xfId="1" applyNumberFormat="1" applyFont="1" applyFill="1" applyBorder="1" applyAlignment="1">
      <alignment horizontal="center" wrapText="1"/>
    </xf>
    <xf numFmtId="37" fontId="18" fillId="0" borderId="32" xfId="1" applyNumberFormat="1" applyFont="1" applyFill="1" applyBorder="1" applyAlignment="1">
      <alignment horizontal="center" wrapText="1"/>
    </xf>
    <xf numFmtId="0" fontId="15" fillId="6" borderId="25" xfId="0" applyFont="1" applyFill="1" applyBorder="1" applyAlignment="1">
      <alignment horizontal="left"/>
    </xf>
    <xf numFmtId="0" fontId="15" fillId="6" borderId="16" xfId="0" applyFont="1" applyFill="1" applyBorder="1" applyAlignment="1">
      <alignment horizontal="left"/>
    </xf>
    <xf numFmtId="0" fontId="15" fillId="6" borderId="31" xfId="0" applyFont="1" applyFill="1" applyBorder="1" applyAlignment="1">
      <alignment horizontal="left"/>
    </xf>
    <xf numFmtId="0" fontId="15" fillId="6" borderId="24" xfId="17" applyFont="1" applyFill="1" applyBorder="1" applyAlignment="1">
      <alignment horizontal="left" vertical="center" wrapText="1"/>
    </xf>
    <xf numFmtId="0" fontId="15" fillId="6" borderId="0" xfId="17" applyFont="1" applyFill="1" applyBorder="1" applyAlignment="1">
      <alignment horizontal="left" vertical="center" wrapText="1"/>
    </xf>
    <xf numFmtId="0" fontId="15" fillId="6" borderId="22" xfId="17" applyFont="1" applyFill="1" applyBorder="1" applyAlignment="1">
      <alignment horizontal="left" vertical="center" wrapText="1"/>
    </xf>
    <xf numFmtId="0" fontId="15" fillId="6" borderId="87" xfId="17" applyFont="1" applyFill="1" applyBorder="1" applyAlignment="1">
      <alignment horizontal="left" vertical="center" wrapText="1"/>
    </xf>
    <xf numFmtId="0" fontId="15" fillId="6" borderId="48" xfId="17" applyFont="1" applyFill="1" applyBorder="1" applyAlignment="1">
      <alignment horizontal="left" vertical="center" wrapText="1"/>
    </xf>
    <xf numFmtId="0" fontId="15" fillId="6" borderId="88" xfId="17" applyFont="1" applyFill="1" applyBorder="1" applyAlignment="1">
      <alignment horizontal="left" vertical="center" wrapText="1"/>
    </xf>
    <xf numFmtId="0" fontId="16" fillId="0" borderId="25" xfId="17" applyNumberFormat="1" applyFont="1" applyFill="1" applyBorder="1" applyAlignment="1">
      <alignment horizontal="center" vertical="center" wrapText="1"/>
    </xf>
    <xf numFmtId="0" fontId="16" fillId="0" borderId="16" xfId="17" applyNumberFormat="1" applyFont="1" applyFill="1" applyBorder="1" applyAlignment="1">
      <alignment horizontal="center" vertical="center" wrapText="1"/>
    </xf>
    <xf numFmtId="0" fontId="16" fillId="0" borderId="31" xfId="17" applyNumberFormat="1" applyFont="1" applyFill="1" applyBorder="1" applyAlignment="1">
      <alignment horizontal="center" vertical="center" wrapText="1"/>
    </xf>
    <xf numFmtId="0" fontId="16" fillId="0" borderId="50" xfId="0" applyFont="1" applyBorder="1" applyAlignment="1">
      <alignment horizontal="center"/>
    </xf>
    <xf numFmtId="0" fontId="16" fillId="0" borderId="51" xfId="0" applyFont="1" applyBorder="1" applyAlignment="1">
      <alignment horizontal="center"/>
    </xf>
    <xf numFmtId="0" fontId="16" fillId="0" borderId="52" xfId="0" applyFont="1" applyBorder="1" applyAlignment="1">
      <alignment horizontal="center"/>
    </xf>
    <xf numFmtId="0" fontId="15" fillId="0" borderId="25" xfId="17" applyFont="1" applyFill="1" applyBorder="1" applyAlignment="1">
      <alignment horizontal="left" vertical="center"/>
    </xf>
    <xf numFmtId="0" fontId="15" fillId="0" borderId="16" xfId="17" applyFont="1" applyFill="1" applyBorder="1" applyAlignment="1">
      <alignment horizontal="left" vertical="center"/>
    </xf>
    <xf numFmtId="0" fontId="15" fillId="0" borderId="31" xfId="17" applyFont="1" applyFill="1" applyBorder="1" applyAlignment="1">
      <alignment horizontal="left" vertical="center"/>
    </xf>
    <xf numFmtId="0" fontId="15" fillId="6" borderId="87" xfId="0" applyFont="1" applyFill="1" applyBorder="1" applyAlignment="1">
      <alignment horizontal="left" wrapText="1"/>
    </xf>
    <xf numFmtId="0" fontId="15" fillId="6" borderId="48" xfId="0" applyFont="1" applyFill="1" applyBorder="1" applyAlignment="1">
      <alignment horizontal="left" wrapText="1"/>
    </xf>
    <xf numFmtId="0" fontId="15" fillId="6" borderId="88" xfId="0" applyFont="1" applyFill="1" applyBorder="1" applyAlignment="1">
      <alignment horizontal="left" wrapText="1"/>
    </xf>
    <xf numFmtId="0" fontId="15" fillId="6" borderId="24" xfId="0" applyFont="1" applyFill="1" applyBorder="1" applyAlignment="1">
      <alignment horizontal="left" vertical="top" wrapText="1"/>
    </xf>
    <xf numFmtId="0" fontId="15" fillId="6" borderId="0" xfId="0" applyFont="1" applyFill="1" applyBorder="1" applyAlignment="1">
      <alignment horizontal="left" vertical="top" wrapText="1"/>
    </xf>
    <xf numFmtId="0" fontId="15" fillId="6" borderId="22" xfId="0" applyFont="1" applyFill="1" applyBorder="1" applyAlignment="1">
      <alignment horizontal="left" vertical="top" wrapText="1"/>
    </xf>
    <xf numFmtId="0" fontId="15" fillId="6" borderId="26" xfId="0" applyFont="1" applyFill="1" applyBorder="1" applyAlignment="1">
      <alignment horizontal="left" vertical="top" wrapText="1"/>
    </xf>
    <xf numFmtId="0" fontId="15" fillId="6" borderId="28" xfId="0" applyFont="1" applyFill="1" applyBorder="1" applyAlignment="1">
      <alignment horizontal="left" vertical="top" wrapText="1"/>
    </xf>
    <xf numFmtId="0" fontId="15" fillId="6" borderId="32" xfId="0" applyFont="1" applyFill="1" applyBorder="1" applyAlignment="1">
      <alignment horizontal="left" vertical="top" wrapText="1"/>
    </xf>
    <xf numFmtId="0" fontId="18" fillId="0" borderId="43" xfId="0" applyFont="1" applyBorder="1" applyAlignment="1">
      <alignment horizontal="center"/>
    </xf>
    <xf numFmtId="0" fontId="18" fillId="0" borderId="44" xfId="0" applyFont="1" applyBorder="1" applyAlignment="1">
      <alignment horizontal="center"/>
    </xf>
    <xf numFmtId="0" fontId="18" fillId="0" borderId="42" xfId="0" applyFont="1" applyBorder="1" applyAlignment="1">
      <alignment horizontal="center"/>
    </xf>
    <xf numFmtId="0" fontId="18" fillId="0" borderId="29" xfId="0" applyFont="1" applyBorder="1" applyAlignment="1">
      <alignment horizontal="center"/>
    </xf>
    <xf numFmtId="0" fontId="18" fillId="0" borderId="1" xfId="0" applyFont="1" applyBorder="1" applyAlignment="1">
      <alignment horizontal="center"/>
    </xf>
    <xf numFmtId="0" fontId="18" fillId="0" borderId="30" xfId="0" applyFont="1" applyBorder="1" applyAlignment="1">
      <alignment horizontal="center"/>
    </xf>
    <xf numFmtId="173" fontId="18" fillId="0" borderId="29" xfId="0" applyNumberFormat="1" applyFont="1" applyBorder="1" applyAlignment="1">
      <alignment horizontal="center"/>
    </xf>
    <xf numFmtId="173" fontId="18" fillId="0" borderId="1" xfId="0" applyNumberFormat="1" applyFont="1" applyBorder="1" applyAlignment="1">
      <alignment horizontal="center"/>
    </xf>
    <xf numFmtId="173" fontId="18" fillId="0" borderId="30" xfId="0" applyNumberFormat="1" applyFont="1" applyBorder="1" applyAlignment="1">
      <alignment horizontal="center"/>
    </xf>
    <xf numFmtId="0" fontId="18" fillId="0" borderId="27" xfId="0" applyFont="1" applyBorder="1" applyAlignment="1">
      <alignment horizontal="center" vertical="center" textRotation="90"/>
    </xf>
    <xf numFmtId="0" fontId="18" fillId="0" borderId="15" xfId="0" applyFont="1" applyBorder="1" applyAlignment="1">
      <alignment horizontal="center" vertical="center" textRotation="90"/>
    </xf>
    <xf numFmtId="0" fontId="18" fillId="0" borderId="21" xfId="0" applyFont="1" applyBorder="1" applyAlignment="1">
      <alignment horizontal="center" vertical="center" textRotation="90"/>
    </xf>
    <xf numFmtId="5" fontId="16" fillId="0" borderId="29" xfId="4" applyFont="1" applyFill="1" applyBorder="1" applyAlignment="1">
      <alignment horizontal="center" vertical="center"/>
    </xf>
    <xf numFmtId="5" fontId="16" fillId="0" borderId="1" xfId="4" applyFont="1" applyFill="1" applyBorder="1" applyAlignment="1">
      <alignment horizontal="center" vertical="center"/>
    </xf>
    <xf numFmtId="5" fontId="16" fillId="0" borderId="30" xfId="4" applyFont="1" applyFill="1" applyBorder="1" applyAlignment="1">
      <alignment horizontal="center" vertical="center"/>
    </xf>
    <xf numFmtId="0" fontId="15" fillId="6" borderId="24" xfId="0" applyFont="1" applyFill="1" applyBorder="1" applyAlignment="1">
      <alignment horizontal="left" vertical="center"/>
    </xf>
    <xf numFmtId="0" fontId="15" fillId="6" borderId="0" xfId="0" applyFont="1" applyFill="1" applyBorder="1" applyAlignment="1">
      <alignment horizontal="left" vertical="center"/>
    </xf>
    <xf numFmtId="0" fontId="15" fillId="6" borderId="22" xfId="0" applyFont="1" applyFill="1" applyBorder="1" applyAlignment="1">
      <alignment horizontal="left" vertical="center"/>
    </xf>
    <xf numFmtId="0" fontId="15" fillId="6" borderId="24" xfId="0" applyFont="1" applyFill="1" applyBorder="1" applyAlignment="1">
      <alignment horizontal="left" vertical="center" wrapText="1"/>
    </xf>
    <xf numFmtId="0" fontId="15" fillId="6" borderId="0" xfId="0" applyFont="1" applyFill="1" applyBorder="1" applyAlignment="1">
      <alignment horizontal="left" vertical="center" wrapText="1"/>
    </xf>
    <xf numFmtId="0" fontId="15" fillId="6" borderId="22" xfId="0" applyFont="1" applyFill="1" applyBorder="1" applyAlignment="1">
      <alignment horizontal="left" vertical="center" wrapText="1"/>
    </xf>
    <xf numFmtId="0" fontId="18" fillId="6" borderId="1" xfId="0" applyFont="1" applyFill="1" applyBorder="1" applyAlignment="1">
      <alignment horizontal="center" vertical="center"/>
    </xf>
    <xf numFmtId="0" fontId="18" fillId="6" borderId="30" xfId="0" applyFont="1" applyFill="1" applyBorder="1" applyAlignment="1">
      <alignment horizontal="center" vertical="center"/>
    </xf>
    <xf numFmtId="5" fontId="16" fillId="0" borderId="29" xfId="4" applyFont="1" applyFill="1" applyBorder="1" applyAlignment="1">
      <alignment horizontal="center" vertical="center" wrapText="1"/>
    </xf>
    <xf numFmtId="5" fontId="16" fillId="0" borderId="30" xfId="4" applyFont="1" applyFill="1" applyBorder="1" applyAlignment="1">
      <alignment horizontal="center" vertical="center" wrapText="1"/>
    </xf>
    <xf numFmtId="165" fontId="18" fillId="0" borderId="25" xfId="1" applyNumberFormat="1" applyFont="1" applyFill="1" applyBorder="1" applyAlignment="1">
      <alignment horizontal="center" vertical="center"/>
    </xf>
    <xf numFmtId="165" fontId="18" fillId="0" borderId="31" xfId="1" applyNumberFormat="1" applyFont="1" applyFill="1" applyBorder="1" applyAlignment="1">
      <alignment horizontal="center" vertical="center"/>
    </xf>
    <xf numFmtId="165" fontId="18" fillId="0" borderId="24" xfId="1" applyNumberFormat="1" applyFont="1" applyFill="1" applyBorder="1" applyAlignment="1">
      <alignment horizontal="center" vertical="center"/>
    </xf>
    <xf numFmtId="165" fontId="18" fillId="0" borderId="22" xfId="1" applyNumberFormat="1" applyFont="1" applyFill="1" applyBorder="1" applyAlignment="1">
      <alignment horizontal="center" vertical="center"/>
    </xf>
    <xf numFmtId="165" fontId="18" fillId="0" borderId="26" xfId="1" applyNumberFormat="1" applyFont="1" applyFill="1" applyBorder="1" applyAlignment="1">
      <alignment horizontal="center" vertical="center"/>
    </xf>
    <xf numFmtId="165" fontId="18" fillId="0" borderId="32" xfId="1" applyNumberFormat="1" applyFont="1" applyFill="1" applyBorder="1" applyAlignment="1">
      <alignment horizontal="center" vertical="center"/>
    </xf>
    <xf numFmtId="165" fontId="18" fillId="0" borderId="29" xfId="1" applyNumberFormat="1" applyFont="1" applyFill="1" applyBorder="1" applyAlignment="1">
      <alignment horizontal="center" vertical="center"/>
    </xf>
    <xf numFmtId="165" fontId="18" fillId="0" borderId="30" xfId="1" applyNumberFormat="1" applyFont="1" applyFill="1" applyBorder="1" applyAlignment="1">
      <alignment horizontal="center" vertical="center"/>
    </xf>
    <xf numFmtId="0" fontId="18" fillId="0" borderId="51" xfId="0" applyFont="1" applyBorder="1" applyAlignment="1">
      <alignment horizontal="center" vertical="center" wrapText="1"/>
    </xf>
    <xf numFmtId="0" fontId="18" fillId="0" borderId="52" xfId="0" applyFont="1" applyBorder="1" applyAlignment="1">
      <alignment horizontal="center" vertical="center" wrapText="1"/>
    </xf>
    <xf numFmtId="0" fontId="15" fillId="0" borderId="0" xfId="0" applyFont="1" applyBorder="1" applyAlignment="1">
      <alignment horizontal="left"/>
    </xf>
    <xf numFmtId="0" fontId="31" fillId="0" borderId="28" xfId="30" applyFont="1" applyBorder="1" applyAlignment="1">
      <alignment horizontal="center" vertical="center"/>
    </xf>
    <xf numFmtId="0" fontId="31" fillId="6" borderId="29" xfId="30" applyFont="1" applyFill="1" applyBorder="1" applyAlignment="1">
      <alignment horizontal="center" vertical="center"/>
    </xf>
    <xf numFmtId="0" fontId="31" fillId="6" borderId="30" xfId="30" applyFont="1" applyFill="1" applyBorder="1" applyAlignment="1">
      <alignment horizontal="center" vertical="center"/>
    </xf>
    <xf numFmtId="0" fontId="31" fillId="0" borderId="27" xfId="30" applyFont="1" applyBorder="1" applyAlignment="1">
      <alignment horizontal="center" vertical="center" wrapText="1"/>
    </xf>
    <xf numFmtId="0" fontId="31" fillId="0" borderId="15" xfId="30" applyFont="1" applyBorder="1" applyAlignment="1">
      <alignment horizontal="center" vertical="center" wrapText="1"/>
    </xf>
    <xf numFmtId="0" fontId="31" fillId="0" borderId="21" xfId="30" applyFont="1" applyBorder="1" applyAlignment="1">
      <alignment horizontal="center" vertical="center" wrapText="1"/>
    </xf>
    <xf numFmtId="0" fontId="31" fillId="0" borderId="69" xfId="30" applyFont="1" applyBorder="1" applyAlignment="1">
      <alignment horizontal="center" vertical="center" wrapText="1"/>
    </xf>
    <xf numFmtId="0" fontId="31" fillId="0" borderId="63" xfId="30" applyFont="1" applyBorder="1" applyAlignment="1">
      <alignment horizontal="center" vertical="center" wrapText="1"/>
    </xf>
    <xf numFmtId="0" fontId="31" fillId="0" borderId="65" xfId="30" applyFont="1" applyBorder="1" applyAlignment="1">
      <alignment horizontal="center" vertical="center" wrapText="1"/>
    </xf>
    <xf numFmtId="0" fontId="31" fillId="0" borderId="55" xfId="30" applyFont="1" applyBorder="1" applyAlignment="1">
      <alignment horizontal="left" vertical="center" wrapText="1"/>
    </xf>
    <xf numFmtId="0" fontId="31" fillId="0" borderId="56" xfId="30" applyFont="1" applyBorder="1" applyAlignment="1">
      <alignment horizontal="left" vertical="center" wrapText="1"/>
    </xf>
    <xf numFmtId="0" fontId="31" fillId="0" borderId="103" xfId="30" applyFont="1" applyBorder="1" applyAlignment="1">
      <alignment horizontal="left" vertical="center" wrapText="1"/>
    </xf>
    <xf numFmtId="0" fontId="31" fillId="0" borderId="104" xfId="30" applyFont="1" applyBorder="1" applyAlignment="1">
      <alignment horizontal="left" vertical="center" wrapText="1"/>
    </xf>
    <xf numFmtId="0" fontId="23" fillId="0" borderId="53" xfId="30" applyFont="1" applyBorder="1" applyAlignment="1">
      <alignment horizontal="left" vertical="center" wrapText="1"/>
    </xf>
    <xf numFmtId="0" fontId="23" fillId="0" borderId="54" xfId="30" applyFont="1" applyBorder="1" applyAlignment="1">
      <alignment horizontal="left" vertical="center" wrapText="1"/>
    </xf>
    <xf numFmtId="0" fontId="23" fillId="0" borderId="105" xfId="30" applyFont="1" applyBorder="1" applyAlignment="1">
      <alignment horizontal="left" vertical="center" wrapText="1"/>
    </xf>
    <xf numFmtId="0" fontId="23" fillId="0" borderId="106" xfId="30" applyFont="1" applyBorder="1" applyAlignment="1">
      <alignment horizontal="left" vertical="center" wrapText="1"/>
    </xf>
    <xf numFmtId="0" fontId="31" fillId="0" borderId="16" xfId="30" applyFont="1" applyBorder="1" applyAlignment="1">
      <alignment horizontal="left" vertical="center" wrapText="1"/>
    </xf>
    <xf numFmtId="0" fontId="23" fillId="0" borderId="0" xfId="30" applyFont="1" applyBorder="1" applyAlignment="1">
      <alignment horizontal="left" vertical="center" wrapText="1"/>
    </xf>
    <xf numFmtId="0" fontId="23" fillId="0" borderId="0" xfId="30" applyFont="1" applyFill="1" applyBorder="1" applyAlignment="1">
      <alignment horizontal="left" vertical="center" wrapText="1"/>
    </xf>
    <xf numFmtId="0" fontId="31" fillId="0" borderId="53" xfId="30" applyFont="1" applyBorder="1" applyAlignment="1">
      <alignment horizontal="left" vertical="center" wrapText="1"/>
    </xf>
    <xf numFmtId="0" fontId="31" fillId="0" borderId="54" xfId="30" applyFont="1" applyBorder="1" applyAlignment="1">
      <alignment horizontal="left" vertical="center" wrapText="1"/>
    </xf>
    <xf numFmtId="0" fontId="31" fillId="0" borderId="38" xfId="30" applyFont="1" applyBorder="1" applyAlignment="1">
      <alignment horizontal="center" vertical="center" wrapText="1"/>
    </xf>
    <xf numFmtId="0" fontId="31" fillId="0" borderId="105" xfId="30" applyFont="1" applyBorder="1" applyAlignment="1">
      <alignment horizontal="left" vertical="center" wrapText="1"/>
    </xf>
    <xf numFmtId="0" fontId="31" fillId="0" borderId="106" xfId="30" applyFont="1" applyBorder="1" applyAlignment="1">
      <alignment horizontal="left" vertical="center" wrapText="1"/>
    </xf>
    <xf numFmtId="0" fontId="18" fillId="0" borderId="0" xfId="29" applyFont="1" applyAlignment="1">
      <alignment vertical="center" wrapText="1"/>
    </xf>
    <xf numFmtId="0" fontId="15" fillId="0" borderId="0" xfId="17" applyFont="1" applyFill="1" applyBorder="1" applyAlignment="1">
      <alignment horizontal="left" vertical="center"/>
    </xf>
    <xf numFmtId="0" fontId="15" fillId="0" borderId="24" xfId="17" applyFont="1" applyFill="1" applyBorder="1" applyAlignment="1">
      <alignment horizontal="left" vertical="center"/>
    </xf>
    <xf numFmtId="0" fontId="15" fillId="0" borderId="22" xfId="17" applyFont="1" applyFill="1" applyBorder="1" applyAlignment="1">
      <alignment horizontal="left" vertical="center"/>
    </xf>
    <xf numFmtId="0" fontId="15" fillId="6" borderId="0" xfId="0" applyFont="1" applyFill="1" applyBorder="1" applyAlignment="1">
      <alignment wrapText="1"/>
    </xf>
    <xf numFmtId="0" fontId="15" fillId="6" borderId="24" xfId="17" applyFont="1" applyFill="1" applyBorder="1" applyAlignment="1">
      <alignment wrapText="1"/>
    </xf>
    <xf numFmtId="0" fontId="15" fillId="6" borderId="22" xfId="0" applyFont="1" applyFill="1" applyBorder="1" applyAlignment="1">
      <alignment wrapText="1"/>
    </xf>
    <xf numFmtId="0" fontId="15" fillId="6" borderId="0" xfId="17" applyFont="1" applyFill="1" applyBorder="1" applyAlignment="1">
      <alignment horizontal="left" wrapText="1"/>
    </xf>
    <xf numFmtId="0" fontId="15" fillId="6" borderId="24" xfId="17" applyFont="1" applyFill="1" applyBorder="1" applyAlignment="1">
      <alignment horizontal="left" wrapText="1"/>
    </xf>
    <xf numFmtId="0" fontId="15" fillId="6" borderId="22" xfId="17" applyFont="1" applyFill="1" applyBorder="1" applyAlignment="1">
      <alignment horizontal="left" wrapText="1"/>
    </xf>
    <xf numFmtId="0" fontId="15" fillId="6" borderId="25" xfId="17" applyFont="1" applyFill="1" applyBorder="1" applyAlignment="1">
      <alignment horizontal="left" vertical="center" wrapText="1"/>
    </xf>
    <xf numFmtId="0" fontId="15" fillId="6" borderId="16" xfId="17" applyFont="1" applyFill="1" applyBorder="1" applyAlignment="1">
      <alignment horizontal="left" vertical="center" wrapText="1"/>
    </xf>
    <xf numFmtId="0" fontId="15" fillId="6" borderId="31" xfId="17" applyFont="1" applyFill="1" applyBorder="1" applyAlignment="1">
      <alignment horizontal="left" vertical="center" wrapText="1"/>
    </xf>
    <xf numFmtId="0" fontId="15" fillId="6" borderId="60" xfId="0" applyFont="1" applyFill="1" applyBorder="1" applyAlignment="1">
      <alignment horizontal="left" vertical="center"/>
    </xf>
    <xf numFmtId="0" fontId="15" fillId="6" borderId="49" xfId="0" applyFont="1" applyFill="1" applyBorder="1" applyAlignment="1">
      <alignment horizontal="left" vertical="center"/>
    </xf>
    <xf numFmtId="0" fontId="15" fillId="6" borderId="61" xfId="0" applyFont="1" applyFill="1" applyBorder="1" applyAlignment="1">
      <alignment horizontal="left" vertical="center"/>
    </xf>
    <xf numFmtId="0" fontId="15" fillId="6" borderId="117" xfId="0" applyFont="1" applyFill="1" applyBorder="1" applyAlignment="1">
      <alignment horizontal="left" vertical="center" wrapText="1"/>
    </xf>
    <xf numFmtId="0" fontId="15" fillId="6" borderId="118" xfId="0" applyFont="1" applyFill="1" applyBorder="1" applyAlignment="1">
      <alignment horizontal="left" vertical="center" wrapText="1"/>
    </xf>
    <xf numFmtId="0" fontId="15" fillId="6" borderId="119"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5" fillId="6" borderId="28" xfId="0" applyFont="1" applyFill="1" applyBorder="1" applyAlignment="1">
      <alignment horizontal="left" vertical="center" wrapText="1"/>
    </xf>
    <xf numFmtId="0" fontId="15" fillId="6" borderId="32" xfId="0" applyFont="1" applyFill="1" applyBorder="1" applyAlignment="1">
      <alignment horizontal="left" vertical="center" wrapText="1"/>
    </xf>
    <xf numFmtId="0" fontId="15" fillId="6" borderId="0" xfId="0" applyFont="1" applyFill="1" applyBorder="1" applyAlignment="1">
      <alignment horizontal="left" wrapText="1"/>
    </xf>
    <xf numFmtId="0" fontId="15" fillId="6" borderId="24" xfId="0" applyFont="1" applyFill="1" applyBorder="1" applyAlignment="1">
      <alignment horizontal="left" wrapText="1"/>
    </xf>
    <xf numFmtId="0" fontId="15" fillId="6" borderId="22" xfId="0" applyFont="1" applyFill="1" applyBorder="1" applyAlignment="1">
      <alignment horizontal="left" wrapText="1"/>
    </xf>
    <xf numFmtId="0" fontId="15" fillId="0" borderId="0" xfId="0" applyFont="1" applyFill="1" applyBorder="1" applyAlignment="1">
      <alignment vertical="top" wrapText="1"/>
    </xf>
    <xf numFmtId="0" fontId="16" fillId="0" borderId="0" xfId="0" applyFont="1" applyBorder="1" applyAlignment="1">
      <alignment horizontal="center" vertical="center" wrapText="1"/>
    </xf>
    <xf numFmtId="167" fontId="18" fillId="0" borderId="0" xfId="0" applyNumberFormat="1" applyFont="1" applyBorder="1" applyAlignment="1">
      <alignment vertical="center" wrapText="1"/>
    </xf>
    <xf numFmtId="6" fontId="18" fillId="0" borderId="0" xfId="0" applyNumberFormat="1" applyFont="1" applyBorder="1" applyAlignment="1">
      <alignment vertical="center" wrapText="1"/>
    </xf>
    <xf numFmtId="172" fontId="18" fillId="0" borderId="0" xfId="1" applyFont="1" applyBorder="1" applyAlignment="1">
      <alignment vertical="center" wrapText="1"/>
    </xf>
    <xf numFmtId="175" fontId="18" fillId="0" borderId="0" xfId="0" applyNumberFormat="1" applyFont="1" applyBorder="1" applyAlignment="1">
      <alignment vertical="center" wrapText="1"/>
    </xf>
    <xf numFmtId="5" fontId="16" fillId="0" borderId="0" xfId="0" applyNumberFormat="1" applyFont="1" applyBorder="1" applyAlignment="1">
      <alignment vertical="center" wrapText="1"/>
    </xf>
    <xf numFmtId="0" fontId="18" fillId="0" borderId="0" xfId="0" applyFont="1" applyFill="1" applyBorder="1" applyAlignment="1">
      <alignment vertical="top" wrapText="1"/>
    </xf>
    <xf numFmtId="0" fontId="30" fillId="0" borderId="0" xfId="0" applyFont="1" applyBorder="1" applyAlignment="1">
      <alignment wrapText="1"/>
    </xf>
    <xf numFmtId="0" fontId="18" fillId="6" borderId="24" xfId="28" applyFont="1" applyFill="1" applyBorder="1" applyAlignment="1">
      <alignment horizontal="left" vertical="center"/>
    </xf>
    <xf numFmtId="0" fontId="18" fillId="6" borderId="0" xfId="28" applyFont="1" applyFill="1" applyBorder="1" applyAlignment="1">
      <alignment horizontal="left" vertical="center"/>
    </xf>
    <xf numFmtId="5" fontId="18" fillId="0" borderId="0" xfId="28" applyNumberFormat="1" applyFont="1" applyBorder="1" applyAlignment="1">
      <alignment vertical="center"/>
    </xf>
    <xf numFmtId="0" fontId="18" fillId="0" borderId="0" xfId="28" applyFont="1" applyBorder="1" applyAlignment="1">
      <alignment vertical="center"/>
    </xf>
    <xf numFmtId="0" fontId="18" fillId="0" borderId="0" xfId="17" applyFont="1" applyBorder="1" applyAlignment="1">
      <alignment vertical="center"/>
    </xf>
    <xf numFmtId="0" fontId="18" fillId="0" borderId="0" xfId="29" applyFont="1" applyBorder="1" applyAlignment="1">
      <alignment wrapText="1"/>
    </xf>
    <xf numFmtId="0" fontId="16" fillId="4" borderId="0" xfId="29" applyFont="1" applyFill="1" applyBorder="1" applyAlignment="1">
      <alignment vertical="top"/>
    </xf>
    <xf numFmtId="22" fontId="16" fillId="4" borderId="0" xfId="29" applyNumberFormat="1" applyFont="1" applyFill="1" applyBorder="1" applyAlignment="1">
      <alignment vertical="center"/>
    </xf>
    <xf numFmtId="10" fontId="18" fillId="0" borderId="0" xfId="18" applyFont="1" applyBorder="1" applyAlignment="1">
      <alignment vertical="center"/>
    </xf>
    <xf numFmtId="0" fontId="18" fillId="0" borderId="0" xfId="17" applyFont="1" applyFill="1" applyBorder="1" applyAlignment="1">
      <alignment vertical="center"/>
    </xf>
    <xf numFmtId="10" fontId="18" fillId="0" borderId="0" xfId="18" applyFont="1" applyFill="1" applyBorder="1" applyAlignment="1">
      <alignment vertical="center"/>
    </xf>
    <xf numFmtId="164" fontId="18" fillId="0" borderId="0" xfId="18" applyNumberFormat="1" applyFont="1" applyFill="1" applyBorder="1" applyAlignment="1">
      <alignment vertical="center"/>
    </xf>
    <xf numFmtId="0" fontId="16" fillId="0" borderId="0" xfId="17" applyFont="1" applyFill="1" applyBorder="1" applyAlignment="1">
      <alignment horizontal="left" vertical="center"/>
    </xf>
    <xf numFmtId="165" fontId="16" fillId="0" borderId="0" xfId="17" applyNumberFormat="1" applyFont="1" applyFill="1" applyBorder="1" applyAlignment="1">
      <alignment horizontal="left" vertical="center" wrapText="1"/>
    </xf>
    <xf numFmtId="0" fontId="26" fillId="0" borderId="0" xfId="29" applyFont="1" applyBorder="1" applyAlignment="1">
      <alignment vertical="top"/>
    </xf>
    <xf numFmtId="0" fontId="18" fillId="0" borderId="0" xfId="29" applyFont="1" applyBorder="1"/>
    <xf numFmtId="0" fontId="15" fillId="7" borderId="0" xfId="17" quotePrefix="1" applyFont="1" applyFill="1" applyBorder="1" applyAlignment="1">
      <alignment horizontal="left" vertical="top" wrapText="1"/>
    </xf>
    <xf numFmtId="0" fontId="15" fillId="0" borderId="0" xfId="17" quotePrefix="1" applyFont="1" applyFill="1" applyBorder="1" applyAlignment="1">
      <alignment horizontal="left" vertical="top" wrapText="1"/>
    </xf>
    <xf numFmtId="17" fontId="18" fillId="0" borderId="0" xfId="29" applyNumberFormat="1" applyFont="1" applyBorder="1" applyAlignment="1">
      <alignment vertical="center"/>
    </xf>
    <xf numFmtId="37" fontId="18" fillId="0" borderId="0" xfId="29" applyNumberFormat="1" applyFont="1" applyBorder="1" applyAlignment="1">
      <alignment vertical="center"/>
    </xf>
    <xf numFmtId="0" fontId="16" fillId="0" borderId="0" xfId="17" applyFont="1" applyBorder="1"/>
    <xf numFmtId="5" fontId="16" fillId="0" borderId="0" xfId="17" applyNumberFormat="1" applyFont="1" applyBorder="1"/>
    <xf numFmtId="0" fontId="16" fillId="0" borderId="0" xfId="17" quotePrefix="1" applyFont="1" applyBorder="1"/>
    <xf numFmtId="0" fontId="15" fillId="6" borderId="0" xfId="0" applyFont="1" applyFill="1" applyBorder="1" applyAlignment="1">
      <alignment horizontal="left" vertical="top"/>
    </xf>
    <xf numFmtId="0" fontId="15" fillId="6" borderId="24" xfId="0" applyFont="1" applyFill="1" applyBorder="1" applyAlignment="1">
      <alignment horizontal="left" vertical="top"/>
    </xf>
    <xf numFmtId="0" fontId="15" fillId="6" borderId="22" xfId="0" applyFont="1" applyFill="1" applyBorder="1" applyAlignment="1">
      <alignment horizontal="left" vertical="top"/>
    </xf>
    <xf numFmtId="0" fontId="15" fillId="6" borderId="24" xfId="17" applyFont="1" applyFill="1" applyBorder="1" applyAlignment="1">
      <alignment vertical="top" wrapText="1"/>
    </xf>
    <xf numFmtId="0" fontId="15" fillId="6" borderId="0" xfId="0" applyFont="1" applyFill="1" applyBorder="1" applyAlignment="1">
      <alignment vertical="top" wrapText="1"/>
    </xf>
    <xf numFmtId="0" fontId="15" fillId="6" borderId="22" xfId="0" applyFont="1" applyFill="1" applyBorder="1" applyAlignment="1">
      <alignment vertical="top" wrapText="1"/>
    </xf>
    <xf numFmtId="0" fontId="15" fillId="6" borderId="24" xfId="17" applyFont="1" applyFill="1" applyBorder="1" applyAlignment="1">
      <alignment horizontal="left" vertical="top" wrapText="1"/>
    </xf>
    <xf numFmtId="0" fontId="15" fillId="6" borderId="0" xfId="17" applyFont="1" applyFill="1" applyBorder="1" applyAlignment="1">
      <alignment horizontal="left" vertical="top" wrapText="1"/>
    </xf>
    <xf numFmtId="0" fontId="15" fillId="6" borderId="22" xfId="17" applyFont="1" applyFill="1" applyBorder="1" applyAlignment="1">
      <alignment horizontal="left" vertical="top" wrapText="1"/>
    </xf>
    <xf numFmtId="5" fontId="59" fillId="0" borderId="0" xfId="0" applyNumberFormat="1" applyFont="1" applyAlignment="1">
      <alignment vertical="center" wrapText="1"/>
    </xf>
  </cellXfs>
  <cellStyles count="143">
    <cellStyle name="20% - Accent1" xfId="110" builtinId="30" customBuiltin="1"/>
    <cellStyle name="20% - Accent2" xfId="114" builtinId="34" customBuiltin="1"/>
    <cellStyle name="20% - Accent3" xfId="118" builtinId="38" customBuiltin="1"/>
    <cellStyle name="20% - Accent4" xfId="122" builtinId="42" customBuiltin="1"/>
    <cellStyle name="20% - Accent5" xfId="126" builtinId="46" customBuiltin="1"/>
    <cellStyle name="20% - Accent6" xfId="130" builtinId="50" customBuiltin="1"/>
    <cellStyle name="40% - Accent1" xfId="111" builtinId="31" customBuiltin="1"/>
    <cellStyle name="40% - Accent2" xfId="115" builtinId="35" customBuiltin="1"/>
    <cellStyle name="40% - Accent3" xfId="119" builtinId="39" customBuiltin="1"/>
    <cellStyle name="40% - Accent4" xfId="123" builtinId="43" customBuiltin="1"/>
    <cellStyle name="40% - Accent5" xfId="127" builtinId="47" customBuiltin="1"/>
    <cellStyle name="40% - Accent6" xfId="131" builtinId="51" customBuiltin="1"/>
    <cellStyle name="60% - Accent1" xfId="112" builtinId="32" customBuiltin="1"/>
    <cellStyle name="60% - Accent2" xfId="116" builtinId="36" customBuiltin="1"/>
    <cellStyle name="60% - Accent3" xfId="120" builtinId="40" customBuiltin="1"/>
    <cellStyle name="60% - Accent4" xfId="124" builtinId="44" customBuiltin="1"/>
    <cellStyle name="60% - Accent5" xfId="128" builtinId="48" customBuiltin="1"/>
    <cellStyle name="60% - Accent6" xfId="132" builtinId="52" customBuiltin="1"/>
    <cellStyle name="Accent1" xfId="109" builtinId="29" customBuiltin="1"/>
    <cellStyle name="Accent2" xfId="113" builtinId="33" customBuiltin="1"/>
    <cellStyle name="Accent3" xfId="117" builtinId="37" customBuiltin="1"/>
    <cellStyle name="Accent4" xfId="121" builtinId="41" customBuiltin="1"/>
    <cellStyle name="Accent5" xfId="125" builtinId="45" customBuiltin="1"/>
    <cellStyle name="Accent6" xfId="129" builtinId="49" customBuiltin="1"/>
    <cellStyle name="Bad" xfId="100" builtinId="27" customBuiltin="1"/>
    <cellStyle name="Calculation" xfId="104" builtinId="22" customBuiltin="1"/>
    <cellStyle name="Check Cell" xfId="106" builtinId="23" customBuiltin="1"/>
    <cellStyle name="Comma" xfId="1" builtinId="3" customBuiltin="1"/>
    <cellStyle name="Comma 2" xfId="27"/>
    <cellStyle name="Comma 2 2" xfId="41"/>
    <cellStyle name="Comma 3" xfId="2"/>
    <cellStyle name="Comma 3 2" xfId="38"/>
    <cellStyle name="Comma 3 2 2" xfId="72"/>
    <cellStyle name="Comma 4" xfId="32"/>
    <cellStyle name="Comma0" xfId="3"/>
    <cellStyle name="Comma0 2" xfId="42"/>
    <cellStyle name="Comma0 3" xfId="33"/>
    <cellStyle name="Currency" xfId="4" builtinId="4" customBuiltin="1"/>
    <cellStyle name="Currency 2" xfId="22"/>
    <cellStyle name="Currency 2 2" xfId="43"/>
    <cellStyle name="Currency 3" xfId="39"/>
    <cellStyle name="Currency 4" xfId="58"/>
    <cellStyle name="Currency0" xfId="5"/>
    <cellStyle name="Currency0 2" xfId="44"/>
    <cellStyle name="Currency0 3" xfId="34"/>
    <cellStyle name="Date" xfId="6"/>
    <cellStyle name="Date 2" xfId="45"/>
    <cellStyle name="Date 3" xfId="35"/>
    <cellStyle name="Explanatory Text" xfId="108" builtinId="53" customBuiltin="1"/>
    <cellStyle name="Fixed" xfId="7"/>
    <cellStyle name="Fixed 2" xfId="46"/>
    <cellStyle name="Fixed 3" xfId="36"/>
    <cellStyle name="Good" xfId="99" builtinId="26" customBuiltin="1"/>
    <cellStyle name="Grey" xfId="8"/>
    <cellStyle name="Grey 2" xfId="47"/>
    <cellStyle name="Header1" xfId="9"/>
    <cellStyle name="Header2" xfId="10"/>
    <cellStyle name="headerStyle" xfId="79"/>
    <cellStyle name="headerStyle 2" xfId="81"/>
    <cellStyle name="headerStyle 2 2" xfId="95"/>
    <cellStyle name="headerStyle 2 3" xfId="82"/>
    <cellStyle name="Heading 1" xfId="11" builtinId="16" customBuiltin="1"/>
    <cellStyle name="Heading 1 2" xfId="48"/>
    <cellStyle name="Heading 1 3" xfId="134"/>
    <cellStyle name="Heading 2" xfId="12" builtinId="17" customBuiltin="1"/>
    <cellStyle name="Heading 2 2" xfId="49"/>
    <cellStyle name="Heading 2 3" xfId="135"/>
    <cellStyle name="Heading 3" xfId="97" builtinId="18" customBuiltin="1"/>
    <cellStyle name="Heading 4" xfId="98" builtinId="19" customBuiltin="1"/>
    <cellStyle name="Hyperlink" xfId="13" builtinId="8"/>
    <cellStyle name="Input" xfId="102" builtinId="20" customBuiltin="1"/>
    <cellStyle name="Input [yellow]" xfId="14"/>
    <cellStyle name="Input [yellow] 2" xfId="50"/>
    <cellStyle name="Linked Cell" xfId="105" builtinId="24" customBuiltin="1"/>
    <cellStyle name="Neutral" xfId="101" builtinId="28" customBuiltin="1"/>
    <cellStyle name="Normal" xfId="0" builtinId="0"/>
    <cellStyle name="Normal - Style1" xfId="15"/>
    <cellStyle name="Normal 10" xfId="31"/>
    <cellStyle name="Normal 10 2" xfId="90"/>
    <cellStyle name="Normal 11" xfId="52"/>
    <cellStyle name="Normal 11 2" xfId="91"/>
    <cellStyle name="Normal 12" xfId="59"/>
    <cellStyle name="Normal 12 2" xfId="92"/>
    <cellStyle name="Normal 13" xfId="60"/>
    <cellStyle name="Normal 14" xfId="61"/>
    <cellStyle name="Normal 15" xfId="62"/>
    <cellStyle name="Normal 16" xfId="63"/>
    <cellStyle name="Normal 17" xfId="64"/>
    <cellStyle name="Normal 18" xfId="65"/>
    <cellStyle name="Normal 19" xfId="66"/>
    <cellStyle name="Normal 2" xfId="21"/>
    <cellStyle name="Normal 2 2" xfId="40"/>
    <cellStyle name="Normal 2 2 2" xfId="93"/>
    <cellStyle name="Normal 2 3" xfId="83"/>
    <cellStyle name="Normal 2 4" xfId="78"/>
    <cellStyle name="Normal 20" xfId="67"/>
    <cellStyle name="Normal 21" xfId="68"/>
    <cellStyle name="Normal 22" xfId="69"/>
    <cellStyle name="Normal 23" xfId="70"/>
    <cellStyle name="Normal 24" xfId="71"/>
    <cellStyle name="Normal 25" xfId="75"/>
    <cellStyle name="Normal 26" xfId="77"/>
    <cellStyle name="Normal 27" xfId="133"/>
    <cellStyle name="Normal 28" xfId="136"/>
    <cellStyle name="Normal 29" xfId="139"/>
    <cellStyle name="Normal 3" xfId="23"/>
    <cellStyle name="Normal 3 2" xfId="54"/>
    <cellStyle name="Normal 3 2 2" xfId="94"/>
    <cellStyle name="Normal 3 3" xfId="84"/>
    <cellStyle name="Normal 3 4" xfId="80"/>
    <cellStyle name="Normal 30" xfId="140"/>
    <cellStyle name="Normal 31" xfId="141"/>
    <cellStyle name="Normal 32" xfId="142"/>
    <cellStyle name="Normal 4" xfId="24"/>
    <cellStyle name="Normal 4 2" xfId="85"/>
    <cellStyle name="Normal 5" xfId="25"/>
    <cellStyle name="Normal 5 2" xfId="86"/>
    <cellStyle name="Normal 6" xfId="26"/>
    <cellStyle name="Normal 6 2" xfId="87"/>
    <cellStyle name="Normal 7" xfId="28"/>
    <cellStyle name="Normal 7 2" xfId="56"/>
    <cellStyle name="Normal 7 3" xfId="88"/>
    <cellStyle name="Normal 8" xfId="29"/>
    <cellStyle name="Normal 8 2" xfId="57"/>
    <cellStyle name="Normal 8 3" xfId="89"/>
    <cellStyle name="Normal 9" xfId="30"/>
    <cellStyle name="Normal 9 2" xfId="74"/>
    <cellStyle name="Normal_JBC Monthly Report_PReed_Sept9" xfId="16"/>
    <cellStyle name="Normal_MMEXP Caseload Prepared Sept5" xfId="17"/>
    <cellStyle name="Note 2" xfId="137"/>
    <cellStyle name="Output" xfId="103" builtinId="21" customBuiltin="1"/>
    <cellStyle name="Percent" xfId="18" builtinId="5" customBuiltin="1"/>
    <cellStyle name="Percent [2]" xfId="19"/>
    <cellStyle name="Percent 2" xfId="51"/>
    <cellStyle name="Percent 3" xfId="55"/>
    <cellStyle name="Percent 4" xfId="73"/>
    <cellStyle name="Percent 5" xfId="76"/>
    <cellStyle name="Title" xfId="96" builtinId="15" customBuiltin="1"/>
    <cellStyle name="Total" xfId="20" builtinId="25" customBuiltin="1"/>
    <cellStyle name="Total 2" xfId="53"/>
    <cellStyle name="Total 3" xfId="37"/>
    <cellStyle name="Total 4" xfId="138"/>
    <cellStyle name="Warning Text" xfId="107" builtinId="11" customBuiltin="1"/>
  </cellStyles>
  <dxfs count="4">
    <dxf>
      <font>
        <color rgb="FF00B050"/>
      </font>
    </dxf>
    <dxf>
      <fill>
        <patternFill>
          <bgColor rgb="FFFF0000"/>
        </patternFill>
      </fill>
    </dxf>
    <dxf>
      <font>
        <b/>
        <i val="0"/>
        <color rgb="FFFF0000"/>
      </font>
    </dxf>
    <dxf>
      <font>
        <b/>
        <i val="0"/>
        <color rgb="FF00B0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wMode val="edge"/>
          <c:hMode val="edge"/>
          <c:x val="0.40339452999185127"/>
          <c:y val="0.93333536533739736"/>
          <c:w val="0.60966098558828974"/>
          <c:h val="0.98494826856320383"/>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wMode val="edge"/>
          <c:hMode val="edge"/>
          <c:x val="0.48891786179922636"/>
          <c:y val="0.93347729602469265"/>
          <c:w val="0.60756192959582789"/>
          <c:h val="0.98497944194743858"/>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wMode val="edge"/>
          <c:hMode val="edge"/>
          <c:x val="0.5"/>
          <c:y val="0.93361884368309889"/>
          <c:w val="0.59375"/>
          <c:h val="0.98501070663811574"/>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google.com/url?sa=t&amp;rct=j&amp;q=&amp;esrc=s&amp;source=web&amp;cd=6&amp;cts=1331079773554&amp;ved=0CGYQFjAF&amp;url=http%3A%2F%2Fwww.dba-oracle.com%2Ft_alter_table_add_column_syntax_example.htm&amp;ei=wKlWT9-IEMuKsAKAtv3PCQ&amp;usg=AFQjCNE4nYVnaI7_X06-dHHNFQ2ckkrSHw&amp;sig2=ydEiO1bFJw72UV_Bc2TdCw" TargetMode="External"/></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92"/>
  <sheetViews>
    <sheetView tabSelected="1" view="pageBreakPreview" topLeftCell="A40" zoomScale="70" zoomScaleNormal="100" zoomScaleSheetLayoutView="70" workbookViewId="0">
      <selection activeCell="H58" sqref="H58"/>
    </sheetView>
  </sheetViews>
  <sheetFormatPr defaultColWidth="9.140625" defaultRowHeight="15.75" x14ac:dyDescent="0.2"/>
  <cols>
    <col min="1" max="1" width="5.5703125" style="196" customWidth="1"/>
    <col min="2" max="2" width="33.5703125" style="196" customWidth="1"/>
    <col min="3" max="3" width="17.7109375" style="196" customWidth="1"/>
    <col min="4" max="4" width="20" style="196" bestFit="1" customWidth="1"/>
    <col min="5" max="5" width="18.7109375" style="196" bestFit="1" customWidth="1"/>
    <col min="6" max="6" width="17.7109375" style="196" customWidth="1"/>
    <col min="7" max="7" width="18.7109375" style="196" bestFit="1" customWidth="1"/>
    <col min="8" max="15" width="17.7109375" style="196" customWidth="1"/>
    <col min="16" max="16" width="17.42578125" style="196" bestFit="1" customWidth="1"/>
    <col min="17" max="17" width="14.28515625" style="196" bestFit="1" customWidth="1"/>
    <col min="18" max="18" width="23.140625" style="196" customWidth="1"/>
    <col min="19" max="19" width="18.140625" style="196" customWidth="1"/>
    <col min="20" max="16384" width="9.140625" style="196"/>
  </cols>
  <sheetData>
    <row r="1" spans="1:18" s="198" customFormat="1" ht="16.5" customHeight="1" thickBot="1" x14ac:dyDescent="0.25">
      <c r="A1" s="638" t="s">
        <v>312</v>
      </c>
      <c r="B1" s="638"/>
      <c r="C1" s="638"/>
      <c r="D1" s="638"/>
      <c r="E1" s="638"/>
      <c r="F1" s="638"/>
      <c r="G1" s="638"/>
      <c r="H1" s="638"/>
      <c r="I1" s="638"/>
      <c r="J1" s="638"/>
      <c r="K1" s="638"/>
      <c r="L1" s="638"/>
      <c r="M1" s="638"/>
      <c r="N1" s="638"/>
      <c r="O1" s="638"/>
    </row>
    <row r="2" spans="1:18" ht="32.25" thickBot="1" x14ac:dyDescent="0.25">
      <c r="A2" s="83"/>
      <c r="B2" s="84" t="s">
        <v>49</v>
      </c>
      <c r="C2" s="85">
        <v>42917</v>
      </c>
      <c r="D2" s="85">
        <v>42948</v>
      </c>
      <c r="E2" s="85">
        <v>42979</v>
      </c>
      <c r="F2" s="85">
        <v>43009</v>
      </c>
      <c r="G2" s="85">
        <v>43040</v>
      </c>
      <c r="H2" s="85">
        <v>43070</v>
      </c>
      <c r="I2" s="85">
        <v>43101</v>
      </c>
      <c r="J2" s="85">
        <v>43132</v>
      </c>
      <c r="K2" s="85">
        <v>43160</v>
      </c>
      <c r="L2" s="85">
        <v>43191</v>
      </c>
      <c r="M2" s="85">
        <v>43221</v>
      </c>
      <c r="N2" s="85">
        <v>43252</v>
      </c>
      <c r="O2" s="86" t="s">
        <v>313</v>
      </c>
    </row>
    <row r="3" spans="1:18" x14ac:dyDescent="0.2">
      <c r="A3" s="639" t="s">
        <v>50</v>
      </c>
      <c r="B3" s="199" t="s">
        <v>51</v>
      </c>
      <c r="C3" s="530">
        <v>71083453</v>
      </c>
      <c r="D3" s="530">
        <v>63473531</v>
      </c>
      <c r="E3" s="530">
        <v>60648382</v>
      </c>
      <c r="F3" s="530">
        <v>85057005</v>
      </c>
      <c r="G3" s="530">
        <v>59125394</v>
      </c>
      <c r="H3" s="530">
        <v>60534079</v>
      </c>
      <c r="I3" s="530"/>
      <c r="J3" s="530"/>
      <c r="K3" s="588"/>
      <c r="L3" s="588"/>
      <c r="M3" s="588"/>
      <c r="N3" s="588"/>
      <c r="O3" s="200">
        <f t="shared" ref="O3:O37" si="0">ROUND(SUM(C3:N3),0)</f>
        <v>399921844</v>
      </c>
      <c r="P3" s="197"/>
      <c r="Q3" s="197"/>
      <c r="R3" s="578"/>
    </row>
    <row r="4" spans="1:18" x14ac:dyDescent="0.2">
      <c r="A4" s="640"/>
      <c r="B4" s="199" t="s">
        <v>52</v>
      </c>
      <c r="C4" s="530">
        <v>0</v>
      </c>
      <c r="D4" s="530">
        <v>1295</v>
      </c>
      <c r="E4" s="530">
        <v>0</v>
      </c>
      <c r="F4" s="530">
        <v>0</v>
      </c>
      <c r="G4" s="530">
        <v>-325</v>
      </c>
      <c r="H4" s="530">
        <v>0</v>
      </c>
      <c r="I4" s="530"/>
      <c r="J4" s="530"/>
      <c r="K4" s="588"/>
      <c r="L4" s="588"/>
      <c r="M4" s="588"/>
      <c r="N4" s="588"/>
      <c r="O4" s="200">
        <f t="shared" si="0"/>
        <v>970</v>
      </c>
      <c r="P4" s="197"/>
      <c r="Q4" s="197"/>
      <c r="R4" s="578"/>
    </row>
    <row r="5" spans="1:18" x14ac:dyDescent="0.2">
      <c r="A5" s="640"/>
      <c r="B5" s="199" t="s">
        <v>53</v>
      </c>
      <c r="C5" s="530">
        <v>5939395</v>
      </c>
      <c r="D5" s="530">
        <v>3194558</v>
      </c>
      <c r="E5" s="530">
        <v>3482353</v>
      </c>
      <c r="F5" s="530">
        <v>3083703</v>
      </c>
      <c r="G5" s="530">
        <v>2766317</v>
      </c>
      <c r="H5" s="530">
        <v>3496019</v>
      </c>
      <c r="I5" s="530"/>
      <c r="J5" s="530"/>
      <c r="K5" s="588"/>
      <c r="L5" s="588"/>
      <c r="M5" s="588"/>
      <c r="N5" s="588"/>
      <c r="O5" s="200">
        <f t="shared" si="0"/>
        <v>21962345</v>
      </c>
      <c r="P5" s="197"/>
      <c r="Q5" s="197"/>
    </row>
    <row r="6" spans="1:18" ht="31.5" x14ac:dyDescent="0.2">
      <c r="A6" s="640"/>
      <c r="B6" s="199" t="s">
        <v>54</v>
      </c>
      <c r="C6" s="530">
        <v>3183023</v>
      </c>
      <c r="D6" s="530">
        <v>2661140</v>
      </c>
      <c r="E6" s="530">
        <v>3264870</v>
      </c>
      <c r="F6" s="530">
        <v>4570217</v>
      </c>
      <c r="G6" s="530">
        <v>3465144</v>
      </c>
      <c r="H6" s="530">
        <v>3334767</v>
      </c>
      <c r="I6" s="530"/>
      <c r="J6" s="530"/>
      <c r="K6" s="588"/>
      <c r="L6" s="588"/>
      <c r="M6" s="588"/>
      <c r="N6" s="588"/>
      <c r="O6" s="200">
        <f t="shared" si="0"/>
        <v>20479161</v>
      </c>
      <c r="P6" s="197"/>
      <c r="Q6" s="197"/>
    </row>
    <row r="7" spans="1:18" x14ac:dyDescent="0.2">
      <c r="A7" s="640"/>
      <c r="B7" s="199" t="s">
        <v>55</v>
      </c>
      <c r="C7" s="530">
        <v>31727505</v>
      </c>
      <c r="D7" s="530">
        <v>26941033</v>
      </c>
      <c r="E7" s="530">
        <v>25050135</v>
      </c>
      <c r="F7" s="530">
        <v>33469841</v>
      </c>
      <c r="G7" s="530">
        <v>26223106</v>
      </c>
      <c r="H7" s="530">
        <v>24249901</v>
      </c>
      <c r="I7" s="530"/>
      <c r="J7" s="530"/>
      <c r="K7" s="588"/>
      <c r="L7" s="588"/>
      <c r="M7" s="588"/>
      <c r="N7" s="588"/>
      <c r="O7" s="200">
        <f t="shared" si="0"/>
        <v>167661521</v>
      </c>
      <c r="P7" s="197"/>
      <c r="Q7" s="197"/>
    </row>
    <row r="8" spans="1:18" x14ac:dyDescent="0.2">
      <c r="A8" s="640"/>
      <c r="B8" s="199" t="s">
        <v>56</v>
      </c>
      <c r="C8" s="530">
        <v>593</v>
      </c>
      <c r="D8" s="530">
        <v>0</v>
      </c>
      <c r="E8" s="530">
        <v>0</v>
      </c>
      <c r="F8" s="530">
        <v>0</v>
      </c>
      <c r="G8" s="530">
        <v>0</v>
      </c>
      <c r="H8" s="530">
        <v>139</v>
      </c>
      <c r="I8" s="530"/>
      <c r="J8" s="530"/>
      <c r="K8" s="588"/>
      <c r="L8" s="588"/>
      <c r="M8" s="588"/>
      <c r="N8" s="588"/>
      <c r="O8" s="200">
        <f t="shared" si="0"/>
        <v>732</v>
      </c>
      <c r="P8" s="197"/>
      <c r="Q8" s="197"/>
    </row>
    <row r="9" spans="1:18" x14ac:dyDescent="0.2">
      <c r="A9" s="640"/>
      <c r="B9" s="199" t="s">
        <v>57</v>
      </c>
      <c r="C9" s="530">
        <v>36468650</v>
      </c>
      <c r="D9" s="530">
        <v>35218509</v>
      </c>
      <c r="E9" s="530">
        <v>38367796</v>
      </c>
      <c r="F9" s="530">
        <v>33632450</v>
      </c>
      <c r="G9" s="530">
        <v>35008059</v>
      </c>
      <c r="H9" s="530">
        <v>27928316</v>
      </c>
      <c r="I9" s="530"/>
      <c r="J9" s="530"/>
      <c r="K9" s="588"/>
      <c r="L9" s="588"/>
      <c r="M9" s="588"/>
      <c r="N9" s="588"/>
      <c r="O9" s="200">
        <f t="shared" si="0"/>
        <v>206623780</v>
      </c>
      <c r="P9" s="197"/>
      <c r="Q9" s="197"/>
    </row>
    <row r="10" spans="1:18" x14ac:dyDescent="0.2">
      <c r="A10" s="640"/>
      <c r="B10" s="199" t="s">
        <v>16</v>
      </c>
      <c r="C10" s="530">
        <v>65079278</v>
      </c>
      <c r="D10" s="530">
        <v>52459208</v>
      </c>
      <c r="E10" s="530">
        <v>62718456</v>
      </c>
      <c r="F10" s="530">
        <v>73262174</v>
      </c>
      <c r="G10" s="530">
        <v>51232997</v>
      </c>
      <c r="H10" s="530">
        <v>65490361</v>
      </c>
      <c r="I10" s="530"/>
      <c r="J10" s="530"/>
      <c r="K10" s="588"/>
      <c r="L10" s="588"/>
      <c r="M10" s="588"/>
      <c r="N10" s="588"/>
      <c r="O10" s="200">
        <f t="shared" si="0"/>
        <v>370242474</v>
      </c>
      <c r="P10" s="197"/>
      <c r="Q10" s="197"/>
    </row>
    <row r="11" spans="1:18" x14ac:dyDescent="0.2">
      <c r="A11" s="640"/>
      <c r="B11" s="199" t="s">
        <v>17</v>
      </c>
      <c r="C11" s="530">
        <v>45404195</v>
      </c>
      <c r="D11" s="530">
        <v>56628534</v>
      </c>
      <c r="E11" s="530">
        <v>9662780</v>
      </c>
      <c r="F11" s="530">
        <v>50167065</v>
      </c>
      <c r="G11" s="530">
        <v>28815899</v>
      </c>
      <c r="H11" s="530">
        <v>49912571</v>
      </c>
      <c r="I11" s="530"/>
      <c r="J11" s="530"/>
      <c r="K11" s="588"/>
      <c r="L11" s="588"/>
      <c r="M11" s="588"/>
      <c r="N11" s="588"/>
      <c r="O11" s="200">
        <f t="shared" si="0"/>
        <v>240591044</v>
      </c>
      <c r="P11" s="197"/>
      <c r="Q11" s="197"/>
    </row>
    <row r="12" spans="1:18" x14ac:dyDescent="0.2">
      <c r="A12" s="640"/>
      <c r="B12" s="199" t="s">
        <v>58</v>
      </c>
      <c r="C12" s="530">
        <v>10105889</v>
      </c>
      <c r="D12" s="530">
        <v>9206867</v>
      </c>
      <c r="E12" s="530">
        <v>11465423</v>
      </c>
      <c r="F12" s="530">
        <v>9961832</v>
      </c>
      <c r="G12" s="530">
        <v>8252893</v>
      </c>
      <c r="H12" s="530">
        <v>10393732</v>
      </c>
      <c r="I12" s="530"/>
      <c r="J12" s="530"/>
      <c r="K12" s="588"/>
      <c r="L12" s="588"/>
      <c r="M12" s="588"/>
      <c r="N12" s="588"/>
      <c r="O12" s="200">
        <f t="shared" si="0"/>
        <v>59386636</v>
      </c>
      <c r="P12" s="197"/>
      <c r="Q12" s="197"/>
    </row>
    <row r="13" spans="1:18" x14ac:dyDescent="0.2">
      <c r="A13" s="640"/>
      <c r="B13" s="199" t="s">
        <v>59</v>
      </c>
      <c r="C13" s="530">
        <v>17557346</v>
      </c>
      <c r="D13" s="530">
        <v>13411768</v>
      </c>
      <c r="E13" s="530">
        <v>14303539</v>
      </c>
      <c r="F13" s="530">
        <v>17261720</v>
      </c>
      <c r="G13" s="530">
        <v>12970687</v>
      </c>
      <c r="H13" s="530">
        <v>16022448</v>
      </c>
      <c r="I13" s="530"/>
      <c r="J13" s="530"/>
      <c r="K13" s="588"/>
      <c r="L13" s="588"/>
      <c r="M13" s="588"/>
      <c r="N13" s="588"/>
      <c r="O13" s="200">
        <f t="shared" si="0"/>
        <v>91527508</v>
      </c>
      <c r="P13" s="197"/>
      <c r="Q13" s="197"/>
    </row>
    <row r="14" spans="1:18" x14ac:dyDescent="0.2">
      <c r="A14" s="640"/>
      <c r="B14" s="199" t="s">
        <v>15</v>
      </c>
      <c r="C14" s="530">
        <v>90490713</v>
      </c>
      <c r="D14" s="530">
        <v>80348224</v>
      </c>
      <c r="E14" s="530">
        <v>76488247</v>
      </c>
      <c r="F14" s="530">
        <v>83966721</v>
      </c>
      <c r="G14" s="530">
        <v>71613672</v>
      </c>
      <c r="H14" s="530">
        <v>75079365</v>
      </c>
      <c r="I14" s="530"/>
      <c r="J14" s="530"/>
      <c r="K14" s="588"/>
      <c r="L14" s="588"/>
      <c r="M14" s="588"/>
      <c r="N14" s="588"/>
      <c r="O14" s="200">
        <f t="shared" si="0"/>
        <v>477986942</v>
      </c>
      <c r="P14" s="197"/>
      <c r="Q14" s="197"/>
    </row>
    <row r="15" spans="1:18" x14ac:dyDescent="0.2">
      <c r="A15" s="640"/>
      <c r="B15" s="199" t="s">
        <v>60</v>
      </c>
      <c r="C15" s="530">
        <v>0</v>
      </c>
      <c r="D15" s="530">
        <v>0</v>
      </c>
      <c r="E15" s="530">
        <v>-132048333</v>
      </c>
      <c r="F15" s="530">
        <v>0</v>
      </c>
      <c r="G15" s="530">
        <v>0</v>
      </c>
      <c r="H15" s="530">
        <v>-156732299</v>
      </c>
      <c r="I15" s="530"/>
      <c r="J15" s="530"/>
      <c r="K15" s="588"/>
      <c r="L15" s="588"/>
      <c r="M15" s="588"/>
      <c r="N15" s="588"/>
      <c r="O15" s="200">
        <f t="shared" si="0"/>
        <v>-288780632</v>
      </c>
      <c r="P15" s="197"/>
      <c r="Q15" s="197"/>
    </row>
    <row r="16" spans="1:18" x14ac:dyDescent="0.2">
      <c r="A16" s="640"/>
      <c r="B16" s="199" t="s">
        <v>80</v>
      </c>
      <c r="C16" s="530">
        <v>1970595</v>
      </c>
      <c r="D16" s="530">
        <v>1574508</v>
      </c>
      <c r="E16" s="530">
        <v>1607618</v>
      </c>
      <c r="F16" s="530">
        <v>2051681</v>
      </c>
      <c r="G16" s="530">
        <v>1616255</v>
      </c>
      <c r="H16" s="530">
        <v>1544161</v>
      </c>
      <c r="I16" s="530"/>
      <c r="J16" s="530"/>
      <c r="K16" s="588"/>
      <c r="L16" s="588"/>
      <c r="M16" s="588"/>
      <c r="N16" s="588"/>
      <c r="O16" s="200">
        <f t="shared" si="0"/>
        <v>10364818</v>
      </c>
      <c r="P16" s="197"/>
      <c r="Q16" s="197"/>
    </row>
    <row r="17" spans="1:18" x14ac:dyDescent="0.2">
      <c r="A17" s="640"/>
      <c r="B17" s="199" t="s">
        <v>81</v>
      </c>
      <c r="C17" s="530">
        <v>20352470</v>
      </c>
      <c r="D17" s="530">
        <v>13118017</v>
      </c>
      <c r="E17" s="530">
        <v>18669813</v>
      </c>
      <c r="F17" s="530">
        <v>18828187</v>
      </c>
      <c r="G17" s="530">
        <v>14435803</v>
      </c>
      <c r="H17" s="530">
        <v>14607623</v>
      </c>
      <c r="I17" s="530"/>
      <c r="J17" s="530"/>
      <c r="K17" s="588"/>
      <c r="L17" s="588"/>
      <c r="M17" s="588"/>
      <c r="N17" s="588"/>
      <c r="O17" s="200">
        <f t="shared" si="0"/>
        <v>100011913</v>
      </c>
      <c r="P17" s="197"/>
      <c r="Q17" s="197"/>
    </row>
    <row r="18" spans="1:18" ht="31.5" x14ac:dyDescent="0.2">
      <c r="A18" s="640"/>
      <c r="B18" s="199" t="s">
        <v>82</v>
      </c>
      <c r="C18" s="530">
        <v>7505059</v>
      </c>
      <c r="D18" s="530">
        <v>2926486</v>
      </c>
      <c r="E18" s="530">
        <v>5916299</v>
      </c>
      <c r="F18" s="530">
        <v>6852966</v>
      </c>
      <c r="G18" s="530">
        <v>7838925</v>
      </c>
      <c r="H18" s="530">
        <v>-3963247</v>
      </c>
      <c r="I18" s="530"/>
      <c r="J18" s="530"/>
      <c r="K18" s="588"/>
      <c r="L18" s="588"/>
      <c r="M18" s="588"/>
      <c r="N18" s="588"/>
      <c r="O18" s="200">
        <f t="shared" si="0"/>
        <v>27076488</v>
      </c>
      <c r="P18" s="197"/>
      <c r="Q18" s="197"/>
    </row>
    <row r="19" spans="1:18" ht="31.5" x14ac:dyDescent="0.2">
      <c r="A19" s="640"/>
      <c r="B19" s="199" t="s">
        <v>83</v>
      </c>
      <c r="C19" s="530">
        <v>0</v>
      </c>
      <c r="D19" s="530">
        <v>0</v>
      </c>
      <c r="E19" s="530">
        <v>0</v>
      </c>
      <c r="F19" s="530">
        <v>-42</v>
      </c>
      <c r="G19" s="530">
        <v>-161</v>
      </c>
      <c r="H19" s="530">
        <v>-12953</v>
      </c>
      <c r="I19" s="530"/>
      <c r="J19" s="530"/>
      <c r="K19" s="588"/>
      <c r="L19" s="588"/>
      <c r="M19" s="588"/>
      <c r="N19" s="588"/>
      <c r="O19" s="200">
        <f t="shared" si="0"/>
        <v>-13156</v>
      </c>
      <c r="P19" s="197"/>
      <c r="Q19" s="197"/>
      <c r="R19" s="535"/>
    </row>
    <row r="20" spans="1:18" ht="31.5" x14ac:dyDescent="0.2">
      <c r="A20" s="640"/>
      <c r="B20" s="199" t="s">
        <v>84</v>
      </c>
      <c r="C20" s="530">
        <v>0</v>
      </c>
      <c r="D20" s="530">
        <v>0</v>
      </c>
      <c r="E20" s="530">
        <v>0</v>
      </c>
      <c r="F20" s="530">
        <v>0</v>
      </c>
      <c r="G20" s="530">
        <v>0</v>
      </c>
      <c r="H20" s="530">
        <v>0</v>
      </c>
      <c r="I20" s="530"/>
      <c r="J20" s="530"/>
      <c r="K20" s="588"/>
      <c r="L20" s="588"/>
      <c r="M20" s="588"/>
      <c r="N20" s="588"/>
      <c r="O20" s="200">
        <f t="shared" si="0"/>
        <v>0</v>
      </c>
      <c r="P20" s="197"/>
      <c r="Q20" s="197"/>
    </row>
    <row r="21" spans="1:18" x14ac:dyDescent="0.2">
      <c r="A21" s="640"/>
      <c r="B21" s="199" t="s">
        <v>85</v>
      </c>
      <c r="C21" s="530">
        <v>0</v>
      </c>
      <c r="D21" s="530">
        <v>0</v>
      </c>
      <c r="E21" s="530">
        <v>2457</v>
      </c>
      <c r="F21" s="530">
        <v>0</v>
      </c>
      <c r="G21" s="530">
        <v>1033</v>
      </c>
      <c r="H21" s="530">
        <v>2451</v>
      </c>
      <c r="I21" s="530"/>
      <c r="J21" s="530"/>
      <c r="K21" s="588"/>
      <c r="L21" s="588"/>
      <c r="M21" s="588"/>
      <c r="N21" s="588"/>
      <c r="O21" s="200">
        <f t="shared" si="0"/>
        <v>5941</v>
      </c>
      <c r="P21" s="197"/>
      <c r="Q21" s="197"/>
    </row>
    <row r="22" spans="1:18" x14ac:dyDescent="0.2">
      <c r="A22" s="640"/>
      <c r="B22" s="199" t="s">
        <v>307</v>
      </c>
      <c r="C22" s="530">
        <v>6125510</v>
      </c>
      <c r="D22" s="530">
        <v>7162811</v>
      </c>
      <c r="E22" s="530">
        <v>7061214</v>
      </c>
      <c r="F22" s="530">
        <v>7872735</v>
      </c>
      <c r="G22" s="530">
        <v>6465177</v>
      </c>
      <c r="H22" s="530">
        <v>6163546</v>
      </c>
      <c r="I22" s="530"/>
      <c r="J22" s="530"/>
      <c r="K22" s="588"/>
      <c r="L22" s="588"/>
      <c r="M22" s="588"/>
      <c r="N22" s="588"/>
      <c r="O22" s="200">
        <f t="shared" ref="O22" si="1">ROUND(SUM(C22:N22),0)</f>
        <v>40850993</v>
      </c>
      <c r="P22" s="197"/>
      <c r="Q22" s="197"/>
    </row>
    <row r="23" spans="1:18" ht="16.5" thickBot="1" x14ac:dyDescent="0.25">
      <c r="A23" s="640"/>
      <c r="B23" s="199" t="s">
        <v>268</v>
      </c>
      <c r="C23" s="530">
        <v>2218045</v>
      </c>
      <c r="D23" s="530">
        <v>1923191</v>
      </c>
      <c r="E23" s="530">
        <v>1758023</v>
      </c>
      <c r="F23" s="530">
        <v>2427280</v>
      </c>
      <c r="G23" s="530">
        <v>2225681</v>
      </c>
      <c r="H23" s="530">
        <v>2115951</v>
      </c>
      <c r="I23" s="530"/>
      <c r="J23" s="530"/>
      <c r="K23" s="588"/>
      <c r="L23" s="588"/>
      <c r="M23" s="588"/>
      <c r="N23" s="588"/>
      <c r="O23" s="200">
        <f t="shared" si="0"/>
        <v>12668171</v>
      </c>
      <c r="P23" s="197"/>
      <c r="Q23" s="197"/>
    </row>
    <row r="24" spans="1:18" ht="16.5" thickBot="1" x14ac:dyDescent="0.25">
      <c r="A24" s="641"/>
      <c r="B24" s="201" t="s">
        <v>61</v>
      </c>
      <c r="C24" s="202">
        <v>415211719</v>
      </c>
      <c r="D24" s="202">
        <v>370249680</v>
      </c>
      <c r="E24" s="202">
        <v>208419072</v>
      </c>
      <c r="F24" s="202">
        <v>432465535</v>
      </c>
      <c r="G24" s="202">
        <v>332056556</v>
      </c>
      <c r="H24" s="202">
        <v>200166931</v>
      </c>
      <c r="I24" s="202">
        <f t="shared" ref="C24:N24" si="2">SUM(I3:I23)</f>
        <v>0</v>
      </c>
      <c r="J24" s="202">
        <f t="shared" si="2"/>
        <v>0</v>
      </c>
      <c r="K24" s="202">
        <f t="shared" si="2"/>
        <v>0</v>
      </c>
      <c r="L24" s="202">
        <f t="shared" si="2"/>
        <v>0</v>
      </c>
      <c r="M24" s="202">
        <f t="shared" si="2"/>
        <v>0</v>
      </c>
      <c r="N24" s="202">
        <f t="shared" si="2"/>
        <v>0</v>
      </c>
      <c r="O24" s="203">
        <f t="shared" si="0"/>
        <v>1958569493</v>
      </c>
      <c r="P24" s="204"/>
      <c r="Q24" s="197"/>
    </row>
    <row r="25" spans="1:18" ht="31.5" x14ac:dyDescent="0.2">
      <c r="A25" s="639" t="s">
        <v>62</v>
      </c>
      <c r="B25" s="199" t="s">
        <v>86</v>
      </c>
      <c r="C25" s="531">
        <v>42633444</v>
      </c>
      <c r="D25" s="531">
        <v>31058595</v>
      </c>
      <c r="E25" s="531">
        <v>36586246</v>
      </c>
      <c r="F25" s="531">
        <v>32284538</v>
      </c>
      <c r="G25" s="531">
        <v>30473270</v>
      </c>
      <c r="H25" s="531">
        <v>30479861</v>
      </c>
      <c r="I25" s="530"/>
      <c r="J25" s="531"/>
      <c r="K25" s="589"/>
      <c r="L25" s="589"/>
      <c r="M25" s="589"/>
      <c r="N25" s="589"/>
      <c r="O25" s="200">
        <f>ROUND(SUM(C25:N25),0)</f>
        <v>203515954</v>
      </c>
      <c r="Q25" s="197"/>
    </row>
    <row r="26" spans="1:18" ht="31.5" x14ac:dyDescent="0.2">
      <c r="A26" s="640"/>
      <c r="B26" s="199" t="s">
        <v>351</v>
      </c>
      <c r="C26" s="531">
        <v>3804605</v>
      </c>
      <c r="D26" s="531">
        <v>3291567</v>
      </c>
      <c r="E26" s="531">
        <v>3539533</v>
      </c>
      <c r="F26" s="531">
        <v>3309171</v>
      </c>
      <c r="G26" s="531">
        <v>3216791</v>
      </c>
      <c r="H26" s="531">
        <v>3130903</v>
      </c>
      <c r="I26" s="530"/>
      <c r="J26" s="531"/>
      <c r="K26" s="589"/>
      <c r="L26" s="589"/>
      <c r="M26" s="589"/>
      <c r="N26" s="589"/>
      <c r="O26" s="200">
        <f t="shared" si="0"/>
        <v>20292570</v>
      </c>
      <c r="Q26" s="197"/>
    </row>
    <row r="27" spans="1:18" x14ac:dyDescent="0.2">
      <c r="A27" s="640"/>
      <c r="B27" s="199" t="s">
        <v>349</v>
      </c>
      <c r="C27" s="531">
        <v>2267231</v>
      </c>
      <c r="D27" s="531">
        <v>1660912</v>
      </c>
      <c r="E27" s="531">
        <v>2100622</v>
      </c>
      <c r="F27" s="531">
        <v>1643773</v>
      </c>
      <c r="G27" s="531">
        <v>1660202</v>
      </c>
      <c r="H27" s="531">
        <v>1939076</v>
      </c>
      <c r="I27" s="530"/>
      <c r="J27" s="531"/>
      <c r="K27" s="589"/>
      <c r="L27" s="589"/>
      <c r="M27" s="589"/>
      <c r="N27" s="589"/>
      <c r="O27" s="200">
        <f t="shared" si="0"/>
        <v>11271816</v>
      </c>
      <c r="Q27" s="197"/>
    </row>
    <row r="28" spans="1:18" ht="31.5" x14ac:dyDescent="0.2">
      <c r="A28" s="640"/>
      <c r="B28" s="199" t="s">
        <v>63</v>
      </c>
      <c r="C28" s="531">
        <v>0</v>
      </c>
      <c r="D28" s="531">
        <v>170830</v>
      </c>
      <c r="E28" s="531">
        <v>220549</v>
      </c>
      <c r="F28" s="531">
        <v>173057</v>
      </c>
      <c r="G28" s="531">
        <v>85446</v>
      </c>
      <c r="H28" s="531">
        <v>18572</v>
      </c>
      <c r="I28" s="530"/>
      <c r="J28" s="531"/>
      <c r="K28" s="589"/>
      <c r="L28" s="589"/>
      <c r="M28" s="589"/>
      <c r="N28" s="589"/>
      <c r="O28" s="200">
        <f t="shared" si="0"/>
        <v>668454</v>
      </c>
      <c r="Q28" s="197"/>
      <c r="R28" s="204"/>
    </row>
    <row r="29" spans="1:18" x14ac:dyDescent="0.2">
      <c r="A29" s="640"/>
      <c r="B29" s="199" t="s">
        <v>64</v>
      </c>
      <c r="C29" s="531">
        <v>1979284</v>
      </c>
      <c r="D29" s="531">
        <v>1412200</v>
      </c>
      <c r="E29" s="531">
        <v>1817516</v>
      </c>
      <c r="F29" s="531">
        <v>1381276</v>
      </c>
      <c r="G29" s="531">
        <v>1685707</v>
      </c>
      <c r="H29" s="531">
        <v>1448886</v>
      </c>
      <c r="I29" s="530"/>
      <c r="J29" s="531"/>
      <c r="K29" s="589"/>
      <c r="L29" s="589"/>
      <c r="M29" s="589"/>
      <c r="N29" s="589"/>
      <c r="O29" s="200">
        <f t="shared" si="0"/>
        <v>9724869</v>
      </c>
      <c r="Q29" s="197"/>
      <c r="R29" s="204"/>
    </row>
    <row r="30" spans="1:18" x14ac:dyDescent="0.2">
      <c r="A30" s="640"/>
      <c r="B30" s="205" t="s">
        <v>65</v>
      </c>
      <c r="C30" s="531">
        <v>58706</v>
      </c>
      <c r="D30" s="531">
        <v>44043</v>
      </c>
      <c r="E30" s="531">
        <v>42857</v>
      </c>
      <c r="F30" s="531">
        <v>76467</v>
      </c>
      <c r="G30" s="531">
        <v>40550</v>
      </c>
      <c r="H30" s="531">
        <v>53551</v>
      </c>
      <c r="I30" s="530"/>
      <c r="J30" s="531"/>
      <c r="K30" s="589"/>
      <c r="L30" s="589"/>
      <c r="M30" s="589"/>
      <c r="N30" s="589"/>
      <c r="O30" s="200">
        <f t="shared" si="0"/>
        <v>316174</v>
      </c>
      <c r="Q30" s="197"/>
    </row>
    <row r="31" spans="1:18" ht="31.5" x14ac:dyDescent="0.2">
      <c r="A31" s="640"/>
      <c r="B31" s="205" t="s">
        <v>350</v>
      </c>
      <c r="C31" s="531">
        <v>91146</v>
      </c>
      <c r="D31" s="531">
        <v>55757</v>
      </c>
      <c r="E31" s="531">
        <v>66966</v>
      </c>
      <c r="F31" s="531">
        <v>58821</v>
      </c>
      <c r="G31" s="531">
        <v>50650</v>
      </c>
      <c r="H31" s="531">
        <v>68797</v>
      </c>
      <c r="I31" s="530"/>
      <c r="J31" s="531"/>
      <c r="K31" s="589"/>
      <c r="L31" s="589"/>
      <c r="M31" s="589"/>
      <c r="N31" s="589"/>
      <c r="O31" s="200">
        <f t="shared" si="0"/>
        <v>392137</v>
      </c>
      <c r="Q31" s="197"/>
    </row>
    <row r="32" spans="1:18" x14ac:dyDescent="0.2">
      <c r="A32" s="640"/>
      <c r="B32" s="205" t="s">
        <v>120</v>
      </c>
      <c r="C32" s="531">
        <v>716537</v>
      </c>
      <c r="D32" s="531">
        <v>352753</v>
      </c>
      <c r="E32" s="531">
        <v>410435</v>
      </c>
      <c r="F32" s="531">
        <v>647924</v>
      </c>
      <c r="G32" s="531">
        <v>411267</v>
      </c>
      <c r="H32" s="531">
        <v>330885</v>
      </c>
      <c r="I32" s="530"/>
      <c r="J32" s="531"/>
      <c r="K32" s="589"/>
      <c r="L32" s="589"/>
      <c r="M32" s="589"/>
      <c r="N32" s="589"/>
      <c r="O32" s="200">
        <f t="shared" si="0"/>
        <v>2869801</v>
      </c>
      <c r="Q32" s="197"/>
    </row>
    <row r="33" spans="1:18" x14ac:dyDescent="0.2">
      <c r="A33" s="640"/>
      <c r="B33" s="205" t="s">
        <v>292</v>
      </c>
      <c r="C33" s="531">
        <v>299001</v>
      </c>
      <c r="D33" s="531">
        <v>227393</v>
      </c>
      <c r="E33" s="531">
        <v>266916</v>
      </c>
      <c r="F33" s="531">
        <v>227786</v>
      </c>
      <c r="G33" s="531">
        <v>299502</v>
      </c>
      <c r="H33" s="531">
        <v>174249</v>
      </c>
      <c r="I33" s="530"/>
      <c r="J33" s="531"/>
      <c r="K33" s="589"/>
      <c r="L33" s="589"/>
      <c r="M33" s="589"/>
      <c r="N33" s="589"/>
      <c r="O33" s="200">
        <f t="shared" si="0"/>
        <v>1494847</v>
      </c>
      <c r="Q33" s="197"/>
    </row>
    <row r="34" spans="1:18" x14ac:dyDescent="0.2">
      <c r="A34" s="640"/>
      <c r="B34" s="199" t="s">
        <v>14</v>
      </c>
      <c r="C34" s="531">
        <v>8430084</v>
      </c>
      <c r="D34" s="531">
        <v>7074982</v>
      </c>
      <c r="E34" s="531">
        <v>6594684</v>
      </c>
      <c r="F34" s="531">
        <v>8549047</v>
      </c>
      <c r="G34" s="531">
        <v>7016464</v>
      </c>
      <c r="H34" s="531">
        <v>7075511</v>
      </c>
      <c r="I34" s="530"/>
      <c r="J34" s="531"/>
      <c r="K34" s="589"/>
      <c r="L34" s="589"/>
      <c r="M34" s="589"/>
      <c r="N34" s="589"/>
      <c r="O34" s="200">
        <f t="shared" si="0"/>
        <v>44740772</v>
      </c>
      <c r="Q34" s="197"/>
    </row>
    <row r="35" spans="1:18" x14ac:dyDescent="0.2">
      <c r="A35" s="640"/>
      <c r="B35" s="199" t="s">
        <v>269</v>
      </c>
      <c r="C35" s="531">
        <v>28108393</v>
      </c>
      <c r="D35" s="531">
        <v>24450286</v>
      </c>
      <c r="E35" s="531">
        <v>24325141</v>
      </c>
      <c r="F35" s="531">
        <v>30589888</v>
      </c>
      <c r="G35" s="531">
        <v>24484236</v>
      </c>
      <c r="H35" s="531">
        <v>25512282</v>
      </c>
      <c r="I35" s="530"/>
      <c r="J35" s="531"/>
      <c r="K35" s="589"/>
      <c r="L35" s="589"/>
      <c r="M35" s="589"/>
      <c r="N35" s="589"/>
      <c r="O35" s="200">
        <f t="shared" si="0"/>
        <v>157470226</v>
      </c>
      <c r="Q35" s="197"/>
      <c r="R35" s="535"/>
    </row>
    <row r="36" spans="1:18" ht="16.5" thickBot="1" x14ac:dyDescent="0.25">
      <c r="A36" s="640"/>
      <c r="B36" s="199" t="s">
        <v>66</v>
      </c>
      <c r="C36" s="531">
        <v>4388094</v>
      </c>
      <c r="D36" s="531">
        <v>4196701</v>
      </c>
      <c r="E36" s="531">
        <v>5587318</v>
      </c>
      <c r="F36" s="531">
        <v>5615696</v>
      </c>
      <c r="G36" s="531">
        <v>4076059</v>
      </c>
      <c r="H36" s="531">
        <v>4913518</v>
      </c>
      <c r="I36" s="530"/>
      <c r="J36" s="531"/>
      <c r="K36" s="589"/>
      <c r="L36" s="589"/>
      <c r="M36" s="589"/>
      <c r="N36" s="589"/>
      <c r="O36" s="200">
        <f t="shared" si="0"/>
        <v>28777386</v>
      </c>
      <c r="Q36" s="197"/>
    </row>
    <row r="37" spans="1:18" ht="16.5" thickBot="1" x14ac:dyDescent="0.25">
      <c r="A37" s="641"/>
      <c r="B37" s="201" t="s">
        <v>67</v>
      </c>
      <c r="C37" s="202">
        <v>92776525</v>
      </c>
      <c r="D37" s="202">
        <v>73996019</v>
      </c>
      <c r="E37" s="202">
        <v>81558783</v>
      </c>
      <c r="F37" s="202">
        <v>84557444</v>
      </c>
      <c r="G37" s="202">
        <v>73500144</v>
      </c>
      <c r="H37" s="202">
        <v>75146091</v>
      </c>
      <c r="I37" s="202">
        <f t="shared" ref="C37:N37" si="3">SUM(I25:I36)</f>
        <v>0</v>
      </c>
      <c r="J37" s="202">
        <f t="shared" si="3"/>
        <v>0</v>
      </c>
      <c r="K37" s="202">
        <f t="shared" si="3"/>
        <v>0</v>
      </c>
      <c r="L37" s="202">
        <f t="shared" si="3"/>
        <v>0</v>
      </c>
      <c r="M37" s="202">
        <f t="shared" si="3"/>
        <v>0</v>
      </c>
      <c r="N37" s="202">
        <f t="shared" si="3"/>
        <v>0</v>
      </c>
      <c r="O37" s="203">
        <f t="shared" si="0"/>
        <v>481535006</v>
      </c>
      <c r="P37" s="204"/>
      <c r="Q37" s="197"/>
    </row>
    <row r="38" spans="1:18" x14ac:dyDescent="0.2">
      <c r="A38" s="639" t="s">
        <v>68</v>
      </c>
      <c r="B38" s="199" t="s">
        <v>87</v>
      </c>
      <c r="C38" s="530">
        <v>60497789</v>
      </c>
      <c r="D38" s="530">
        <v>54045974</v>
      </c>
      <c r="E38" s="530">
        <v>57051316</v>
      </c>
      <c r="F38" s="530">
        <v>60258694</v>
      </c>
      <c r="G38" s="530">
        <v>57956522</v>
      </c>
      <c r="H38" s="530">
        <v>40199596</v>
      </c>
      <c r="I38" s="530"/>
      <c r="J38" s="530"/>
      <c r="K38" s="588"/>
      <c r="L38" s="588"/>
      <c r="M38" s="588"/>
      <c r="N38" s="588"/>
      <c r="O38" s="200">
        <f t="shared" ref="O38:O57" si="4">ROUND(SUM(C38:N38),0)</f>
        <v>330009891</v>
      </c>
      <c r="Q38" s="197"/>
    </row>
    <row r="39" spans="1:18" x14ac:dyDescent="0.2">
      <c r="A39" s="640"/>
      <c r="B39" s="199" t="s">
        <v>88</v>
      </c>
      <c r="C39" s="530">
        <v>455161</v>
      </c>
      <c r="D39" s="530">
        <v>440479</v>
      </c>
      <c r="E39" s="530">
        <v>332128</v>
      </c>
      <c r="F39" s="530">
        <v>597102</v>
      </c>
      <c r="G39" s="530">
        <v>497774</v>
      </c>
      <c r="H39" s="530">
        <v>272263</v>
      </c>
      <c r="I39" s="530"/>
      <c r="J39" s="530"/>
      <c r="K39" s="588"/>
      <c r="L39" s="588"/>
      <c r="M39" s="588"/>
      <c r="N39" s="588"/>
      <c r="O39" s="200">
        <f t="shared" si="4"/>
        <v>2594907</v>
      </c>
      <c r="Q39" s="197"/>
    </row>
    <row r="40" spans="1:18" ht="31.5" x14ac:dyDescent="0.2">
      <c r="A40" s="640"/>
      <c r="B40" s="199" t="s">
        <v>89</v>
      </c>
      <c r="C40" s="530">
        <v>13062057</v>
      </c>
      <c r="D40" s="530">
        <v>10201843</v>
      </c>
      <c r="E40" s="530">
        <v>10164494</v>
      </c>
      <c r="F40" s="530">
        <v>23731144</v>
      </c>
      <c r="G40" s="530">
        <v>11064607</v>
      </c>
      <c r="H40" s="530">
        <v>13031832</v>
      </c>
      <c r="I40" s="530"/>
      <c r="J40" s="530"/>
      <c r="K40" s="588"/>
      <c r="L40" s="588"/>
      <c r="M40" s="588"/>
      <c r="N40" s="588"/>
      <c r="O40" s="200">
        <f t="shared" si="4"/>
        <v>81255977</v>
      </c>
      <c r="Q40" s="197"/>
    </row>
    <row r="41" spans="1:18" ht="31.5" x14ac:dyDescent="0.2">
      <c r="A41" s="640"/>
      <c r="B41" s="199" t="s">
        <v>69</v>
      </c>
      <c r="C41" s="530">
        <v>15431206</v>
      </c>
      <c r="D41" s="530">
        <v>16026077</v>
      </c>
      <c r="E41" s="530">
        <v>16354577</v>
      </c>
      <c r="F41" s="530">
        <v>16606495</v>
      </c>
      <c r="G41" s="530">
        <v>16366214</v>
      </c>
      <c r="H41" s="530">
        <v>16375628</v>
      </c>
      <c r="I41" s="530"/>
      <c r="J41" s="530"/>
      <c r="K41" s="588"/>
      <c r="L41" s="588"/>
      <c r="M41" s="588"/>
      <c r="N41" s="588"/>
      <c r="O41" s="200">
        <f t="shared" si="4"/>
        <v>97160197</v>
      </c>
      <c r="Q41" s="197"/>
    </row>
    <row r="42" spans="1:18" ht="16.5" thickBot="1" x14ac:dyDescent="0.25">
      <c r="A42" s="640"/>
      <c r="B42" s="199" t="s">
        <v>70</v>
      </c>
      <c r="C42" s="530">
        <v>152542</v>
      </c>
      <c r="D42" s="530">
        <v>163355</v>
      </c>
      <c r="E42" s="530">
        <v>156469</v>
      </c>
      <c r="F42" s="530">
        <v>248957</v>
      </c>
      <c r="G42" s="530">
        <v>238343</v>
      </c>
      <c r="H42" s="530">
        <v>199860</v>
      </c>
      <c r="I42" s="530"/>
      <c r="J42" s="530"/>
      <c r="K42" s="588"/>
      <c r="L42" s="588"/>
      <c r="M42" s="588"/>
      <c r="N42" s="588"/>
      <c r="O42" s="200">
        <f t="shared" si="4"/>
        <v>1159526</v>
      </c>
      <c r="Q42" s="197"/>
    </row>
    <row r="43" spans="1:18" ht="16.5" thickBot="1" x14ac:dyDescent="0.25">
      <c r="A43" s="641"/>
      <c r="B43" s="201" t="s">
        <v>71</v>
      </c>
      <c r="C43" s="202">
        <v>89598755</v>
      </c>
      <c r="D43" s="202">
        <v>80877728</v>
      </c>
      <c r="E43" s="202">
        <v>84058984</v>
      </c>
      <c r="F43" s="202">
        <v>101442392</v>
      </c>
      <c r="G43" s="202">
        <v>86123460</v>
      </c>
      <c r="H43" s="202">
        <v>70079179</v>
      </c>
      <c r="I43" s="202">
        <f t="shared" ref="C43:N43" si="5">SUM(I38:I42)</f>
        <v>0</v>
      </c>
      <c r="J43" s="202">
        <f t="shared" si="5"/>
        <v>0</v>
      </c>
      <c r="K43" s="202">
        <f t="shared" si="5"/>
        <v>0</v>
      </c>
      <c r="L43" s="202">
        <f t="shared" si="5"/>
        <v>0</v>
      </c>
      <c r="M43" s="202">
        <f t="shared" si="5"/>
        <v>0</v>
      </c>
      <c r="N43" s="202">
        <f t="shared" si="5"/>
        <v>0</v>
      </c>
      <c r="O43" s="203">
        <f t="shared" si="4"/>
        <v>512180498</v>
      </c>
      <c r="P43" s="204"/>
      <c r="Q43" s="197"/>
    </row>
    <row r="44" spans="1:18" x14ac:dyDescent="0.2">
      <c r="A44" s="639" t="s">
        <v>159</v>
      </c>
      <c r="B44" s="199" t="s">
        <v>90</v>
      </c>
      <c r="C44" s="530">
        <v>0</v>
      </c>
      <c r="D44" s="530">
        <v>2155878</v>
      </c>
      <c r="E44" s="530">
        <v>4181273</v>
      </c>
      <c r="F44" s="530">
        <v>3149178</v>
      </c>
      <c r="G44" s="530">
        <v>1915637</v>
      </c>
      <c r="H44" s="530">
        <v>4423144</v>
      </c>
      <c r="I44" s="530"/>
      <c r="J44" s="530"/>
      <c r="K44" s="588"/>
      <c r="L44" s="588"/>
      <c r="M44" s="588"/>
      <c r="N44" s="588"/>
      <c r="O44" s="200">
        <f t="shared" si="4"/>
        <v>15825110</v>
      </c>
      <c r="Q44" s="197"/>
    </row>
    <row r="45" spans="1:18" x14ac:dyDescent="0.2">
      <c r="A45" s="640"/>
      <c r="B45" s="199" t="s">
        <v>91</v>
      </c>
      <c r="C45" s="530">
        <v>0</v>
      </c>
      <c r="D45" s="530">
        <v>0</v>
      </c>
      <c r="E45" s="530">
        <v>0</v>
      </c>
      <c r="F45" s="530">
        <v>0</v>
      </c>
      <c r="G45" s="530">
        <v>0</v>
      </c>
      <c r="H45" s="530">
        <v>0</v>
      </c>
      <c r="I45" s="530"/>
      <c r="J45" s="530"/>
      <c r="K45" s="588"/>
      <c r="L45" s="588"/>
      <c r="M45" s="588"/>
      <c r="N45" s="588"/>
      <c r="O45" s="200">
        <f t="shared" si="4"/>
        <v>0</v>
      </c>
      <c r="Q45" s="197"/>
    </row>
    <row r="46" spans="1:18" ht="32.25" thickBot="1" x14ac:dyDescent="0.25">
      <c r="A46" s="640"/>
      <c r="B46" s="199" t="s">
        <v>92</v>
      </c>
      <c r="C46" s="530">
        <v>10948006</v>
      </c>
      <c r="D46" s="530">
        <v>11320660</v>
      </c>
      <c r="E46" s="530">
        <v>13784701</v>
      </c>
      <c r="F46" s="530">
        <v>13459884</v>
      </c>
      <c r="G46" s="530">
        <v>10455597</v>
      </c>
      <c r="H46" s="530">
        <v>13522913</v>
      </c>
      <c r="I46" s="530"/>
      <c r="J46" s="530"/>
      <c r="K46" s="588"/>
      <c r="L46" s="588"/>
      <c r="M46" s="588"/>
      <c r="N46" s="588"/>
      <c r="O46" s="200">
        <f t="shared" si="4"/>
        <v>73491761</v>
      </c>
      <c r="Q46" s="197"/>
    </row>
    <row r="47" spans="1:18" ht="16.5" thickBot="1" x14ac:dyDescent="0.25">
      <c r="A47" s="641"/>
      <c r="B47" s="201" t="s">
        <v>72</v>
      </c>
      <c r="C47" s="202">
        <v>10948006</v>
      </c>
      <c r="D47" s="202">
        <v>13476538</v>
      </c>
      <c r="E47" s="202">
        <v>17965974</v>
      </c>
      <c r="F47" s="202">
        <v>16609062</v>
      </c>
      <c r="G47" s="202">
        <v>12371234</v>
      </c>
      <c r="H47" s="202">
        <v>17946057</v>
      </c>
      <c r="I47" s="202">
        <f t="shared" ref="C47:N47" si="6">SUM(I44:I46)</f>
        <v>0</v>
      </c>
      <c r="J47" s="202">
        <f t="shared" si="6"/>
        <v>0</v>
      </c>
      <c r="K47" s="202">
        <f t="shared" si="6"/>
        <v>0</v>
      </c>
      <c r="L47" s="202">
        <f t="shared" si="6"/>
        <v>0</v>
      </c>
      <c r="M47" s="202">
        <f t="shared" si="6"/>
        <v>0</v>
      </c>
      <c r="N47" s="202">
        <f t="shared" si="6"/>
        <v>0</v>
      </c>
      <c r="O47" s="203">
        <f t="shared" si="4"/>
        <v>89316871</v>
      </c>
      <c r="P47" s="204"/>
      <c r="Q47" s="197"/>
    </row>
    <row r="48" spans="1:18" ht="31.5" x14ac:dyDescent="0.2">
      <c r="A48" s="639" t="s">
        <v>73</v>
      </c>
      <c r="B48" s="199" t="s">
        <v>100</v>
      </c>
      <c r="C48" s="530">
        <v>0</v>
      </c>
      <c r="D48" s="530">
        <v>0</v>
      </c>
      <c r="E48" s="530">
        <v>0</v>
      </c>
      <c r="F48" s="530">
        <v>0</v>
      </c>
      <c r="G48" s="530">
        <v>0</v>
      </c>
      <c r="H48" s="530">
        <v>4625258</v>
      </c>
      <c r="I48" s="530"/>
      <c r="J48" s="530"/>
      <c r="K48" s="588"/>
      <c r="L48" s="588"/>
      <c r="M48" s="588"/>
      <c r="N48" s="588"/>
      <c r="O48" s="200">
        <f t="shared" si="4"/>
        <v>4625258</v>
      </c>
      <c r="Q48" s="197"/>
    </row>
    <row r="49" spans="1:17" ht="31.5" x14ac:dyDescent="0.2">
      <c r="A49" s="640"/>
      <c r="B49" s="199" t="s">
        <v>74</v>
      </c>
      <c r="C49" s="530">
        <v>0</v>
      </c>
      <c r="D49" s="530">
        <v>0</v>
      </c>
      <c r="E49" s="530">
        <v>0</v>
      </c>
      <c r="F49" s="530">
        <v>0</v>
      </c>
      <c r="G49" s="530">
        <v>0</v>
      </c>
      <c r="H49" s="530">
        <v>0</v>
      </c>
      <c r="I49" s="530"/>
      <c r="J49" s="530"/>
      <c r="K49" s="588"/>
      <c r="L49" s="588"/>
      <c r="M49" s="588"/>
      <c r="N49" s="588"/>
      <c r="O49" s="200">
        <f t="shared" si="4"/>
        <v>0</v>
      </c>
      <c r="Q49" s="197"/>
    </row>
    <row r="50" spans="1:17" ht="31.5" x14ac:dyDescent="0.2">
      <c r="A50" s="640"/>
      <c r="B50" s="199" t="s">
        <v>75</v>
      </c>
      <c r="C50" s="530">
        <v>0</v>
      </c>
      <c r="D50" s="530">
        <v>0</v>
      </c>
      <c r="E50" s="530">
        <v>0</v>
      </c>
      <c r="F50" s="530">
        <v>0</v>
      </c>
      <c r="G50" s="530">
        <v>0</v>
      </c>
      <c r="H50" s="530">
        <v>-1726</v>
      </c>
      <c r="I50" s="530"/>
      <c r="J50" s="530"/>
      <c r="K50" s="588"/>
      <c r="L50" s="588"/>
      <c r="M50" s="588"/>
      <c r="N50" s="588"/>
      <c r="O50" s="200">
        <f t="shared" si="4"/>
        <v>-1726</v>
      </c>
      <c r="Q50" s="197"/>
    </row>
    <row r="51" spans="1:17" ht="31.5" x14ac:dyDescent="0.2">
      <c r="A51" s="640"/>
      <c r="B51" s="199" t="s">
        <v>93</v>
      </c>
      <c r="C51" s="530">
        <v>57068785</v>
      </c>
      <c r="D51" s="530">
        <v>136922655</v>
      </c>
      <c r="E51" s="530">
        <v>136966695</v>
      </c>
      <c r="F51" s="530">
        <v>65238516</v>
      </c>
      <c r="G51" s="530">
        <v>65332872</v>
      </c>
      <c r="H51" s="530">
        <v>72608250</v>
      </c>
      <c r="I51" s="530"/>
      <c r="J51" s="530"/>
      <c r="K51" s="588"/>
      <c r="L51" s="588"/>
      <c r="M51" s="588"/>
      <c r="N51" s="588"/>
      <c r="O51" s="200">
        <f t="shared" si="4"/>
        <v>534137773</v>
      </c>
      <c r="Q51" s="197"/>
    </row>
    <row r="52" spans="1:17" ht="31.5" x14ac:dyDescent="0.2">
      <c r="A52" s="640"/>
      <c r="B52" s="199" t="s">
        <v>95</v>
      </c>
      <c r="C52" s="530">
        <v>8536804</v>
      </c>
      <c r="D52" s="530">
        <v>9433962</v>
      </c>
      <c r="E52" s="530">
        <v>8943547</v>
      </c>
      <c r="F52" s="530">
        <v>8931153</v>
      </c>
      <c r="G52" s="530">
        <v>8928844</v>
      </c>
      <c r="H52" s="530">
        <v>8930706</v>
      </c>
      <c r="I52" s="530"/>
      <c r="J52" s="530"/>
      <c r="K52" s="588"/>
      <c r="L52" s="588"/>
      <c r="M52" s="588"/>
      <c r="N52" s="588"/>
      <c r="O52" s="200">
        <f t="shared" si="4"/>
        <v>53705016</v>
      </c>
      <c r="Q52" s="197"/>
    </row>
    <row r="53" spans="1:17" x14ac:dyDescent="0.2">
      <c r="A53" s="640"/>
      <c r="B53" s="199" t="s">
        <v>96</v>
      </c>
      <c r="C53" s="530">
        <v>0</v>
      </c>
      <c r="D53" s="530">
        <v>0</v>
      </c>
      <c r="E53" s="530">
        <v>0</v>
      </c>
      <c r="F53" s="530">
        <v>0</v>
      </c>
      <c r="G53" s="530">
        <v>0</v>
      </c>
      <c r="H53" s="530">
        <v>0</v>
      </c>
      <c r="I53" s="530"/>
      <c r="J53" s="530"/>
      <c r="K53" s="588"/>
      <c r="L53" s="588"/>
      <c r="M53" s="588"/>
      <c r="N53" s="588"/>
      <c r="O53" s="200">
        <f t="shared" si="4"/>
        <v>0</v>
      </c>
      <c r="Q53" s="197"/>
    </row>
    <row r="54" spans="1:17" x14ac:dyDescent="0.2">
      <c r="A54" s="640"/>
      <c r="B54" s="199" t="s">
        <v>94</v>
      </c>
      <c r="C54" s="530">
        <v>0</v>
      </c>
      <c r="D54" s="530">
        <v>0</v>
      </c>
      <c r="E54" s="530">
        <v>0</v>
      </c>
      <c r="F54" s="530">
        <v>0</v>
      </c>
      <c r="G54" s="530">
        <v>0</v>
      </c>
      <c r="H54" s="530">
        <v>0</v>
      </c>
      <c r="I54" s="530"/>
      <c r="J54" s="530"/>
      <c r="K54" s="588"/>
      <c r="L54" s="588"/>
      <c r="M54" s="588"/>
      <c r="N54" s="588"/>
      <c r="O54" s="200">
        <f t="shared" si="4"/>
        <v>0</v>
      </c>
      <c r="Q54" s="197"/>
    </row>
    <row r="55" spans="1:17" ht="31.5" x14ac:dyDescent="0.2">
      <c r="A55" s="640"/>
      <c r="B55" s="199" t="s">
        <v>356</v>
      </c>
      <c r="C55" s="530">
        <v>0</v>
      </c>
      <c r="D55" s="530">
        <v>0</v>
      </c>
      <c r="E55" s="530">
        <v>0</v>
      </c>
      <c r="F55" s="530">
        <v>0</v>
      </c>
      <c r="G55" s="530">
        <v>31210142</v>
      </c>
      <c r="H55" s="530">
        <v>30773025</v>
      </c>
      <c r="I55" s="530"/>
      <c r="J55" s="530"/>
      <c r="K55" s="588"/>
      <c r="L55" s="588"/>
      <c r="M55" s="588"/>
      <c r="N55" s="588"/>
      <c r="O55" s="200">
        <f t="shared" si="4"/>
        <v>61983167</v>
      </c>
      <c r="Q55" s="197"/>
    </row>
    <row r="56" spans="1:17" ht="16.5" thickBot="1" x14ac:dyDescent="0.25">
      <c r="A56" s="640"/>
      <c r="B56" s="205" t="s">
        <v>142</v>
      </c>
      <c r="C56" s="530">
        <v>8254985</v>
      </c>
      <c r="D56" s="530">
        <v>368758</v>
      </c>
      <c r="E56" s="530">
        <v>3107353</v>
      </c>
      <c r="F56" s="530">
        <v>2803319</v>
      </c>
      <c r="G56" s="530">
        <v>-3739750</v>
      </c>
      <c r="H56" s="530">
        <v>-12724695</v>
      </c>
      <c r="I56" s="530"/>
      <c r="J56" s="530"/>
      <c r="K56" s="588"/>
      <c r="L56" s="588"/>
      <c r="M56" s="588"/>
      <c r="N56" s="588"/>
      <c r="O56" s="200">
        <f t="shared" si="4"/>
        <v>-1930030</v>
      </c>
      <c r="Q56" s="197"/>
    </row>
    <row r="57" spans="1:17" ht="16.5" thickBot="1" x14ac:dyDescent="0.25">
      <c r="A57" s="641"/>
      <c r="B57" s="201" t="s">
        <v>76</v>
      </c>
      <c r="C57" s="202">
        <v>73860574</v>
      </c>
      <c r="D57" s="202">
        <v>146725375</v>
      </c>
      <c r="E57" s="202">
        <v>149017595</v>
      </c>
      <c r="F57" s="202">
        <v>76972988</v>
      </c>
      <c r="G57" s="202">
        <v>101732108</v>
      </c>
      <c r="H57" s="202">
        <v>104210818</v>
      </c>
      <c r="I57" s="202">
        <f t="shared" ref="C57:N57" si="7">SUM(I48:I56)</f>
        <v>0</v>
      </c>
      <c r="J57" s="202">
        <f t="shared" si="7"/>
        <v>0</v>
      </c>
      <c r="K57" s="202">
        <f t="shared" si="7"/>
        <v>0</v>
      </c>
      <c r="L57" s="202">
        <f t="shared" si="7"/>
        <v>0</v>
      </c>
      <c r="M57" s="202">
        <f t="shared" si="7"/>
        <v>0</v>
      </c>
      <c r="N57" s="202">
        <f t="shared" si="7"/>
        <v>0</v>
      </c>
      <c r="O57" s="203">
        <f t="shared" si="4"/>
        <v>652519458</v>
      </c>
      <c r="Q57" s="197"/>
    </row>
    <row r="58" spans="1:17" s="208" customFormat="1" ht="16.5" thickBot="1" x14ac:dyDescent="0.25">
      <c r="A58" s="642"/>
      <c r="B58" s="206" t="s">
        <v>97</v>
      </c>
      <c r="C58" s="96">
        <v>5</v>
      </c>
      <c r="D58" s="96">
        <v>4</v>
      </c>
      <c r="E58" s="96">
        <v>4</v>
      </c>
      <c r="F58" s="96">
        <v>5</v>
      </c>
      <c r="G58" s="96">
        <v>4</v>
      </c>
      <c r="H58" s="96">
        <v>4</v>
      </c>
      <c r="I58" s="96">
        <v>5</v>
      </c>
      <c r="J58" s="96">
        <v>4</v>
      </c>
      <c r="K58" s="96">
        <v>4</v>
      </c>
      <c r="L58" s="96">
        <v>5</v>
      </c>
      <c r="M58" s="96">
        <v>4</v>
      </c>
      <c r="N58" s="96">
        <v>4</v>
      </c>
      <c r="O58" s="207">
        <f>SUM(C58:N58)</f>
        <v>52</v>
      </c>
      <c r="Q58" s="197"/>
    </row>
    <row r="59" spans="1:17" ht="16.5" thickBot="1" x14ac:dyDescent="0.25">
      <c r="A59" s="643"/>
      <c r="B59" s="201" t="s">
        <v>77</v>
      </c>
      <c r="C59" s="209">
        <v>682395579</v>
      </c>
      <c r="D59" s="209">
        <v>685325340</v>
      </c>
      <c r="E59" s="209">
        <v>541020408</v>
      </c>
      <c r="F59" s="209">
        <v>712047421</v>
      </c>
      <c r="G59" s="209">
        <v>605783502</v>
      </c>
      <c r="H59" s="209">
        <v>467549076</v>
      </c>
      <c r="I59" s="209">
        <f t="shared" ref="C59:N59" si="8">ROUND(I57+I47+I43+I37+I24,0)</f>
        <v>0</v>
      </c>
      <c r="J59" s="209">
        <f t="shared" si="8"/>
        <v>0</v>
      </c>
      <c r="K59" s="209">
        <f t="shared" si="8"/>
        <v>0</v>
      </c>
      <c r="L59" s="209">
        <f t="shared" si="8"/>
        <v>0</v>
      </c>
      <c r="M59" s="209">
        <f t="shared" si="8"/>
        <v>0</v>
      </c>
      <c r="N59" s="209">
        <f t="shared" si="8"/>
        <v>0</v>
      </c>
      <c r="O59" s="210">
        <f>ROUND(SUM(C59:N59),0)</f>
        <v>3694121326</v>
      </c>
      <c r="P59" s="204"/>
      <c r="Q59" s="279"/>
    </row>
    <row r="60" spans="1:17" x14ac:dyDescent="0.2">
      <c r="A60" s="644" t="s">
        <v>24</v>
      </c>
      <c r="B60" s="645"/>
      <c r="C60" s="645"/>
      <c r="D60" s="645"/>
      <c r="E60" s="645"/>
      <c r="F60" s="645"/>
      <c r="G60" s="645"/>
      <c r="H60" s="645"/>
      <c r="I60" s="645"/>
      <c r="J60" s="645"/>
      <c r="K60" s="645"/>
      <c r="L60" s="645"/>
      <c r="M60" s="645"/>
      <c r="N60" s="645"/>
      <c r="O60" s="646"/>
      <c r="P60" s="217"/>
      <c r="Q60" s="279"/>
    </row>
    <row r="61" spans="1:17" hidden="1" x14ac:dyDescent="0.2">
      <c r="A61" s="647"/>
      <c r="B61" s="648"/>
      <c r="C61" s="648"/>
      <c r="D61" s="648"/>
      <c r="E61" s="648"/>
      <c r="F61" s="648"/>
      <c r="G61" s="648"/>
      <c r="H61" s="648"/>
      <c r="I61" s="648"/>
      <c r="J61" s="648"/>
      <c r="K61" s="648"/>
      <c r="L61" s="648"/>
      <c r="M61" s="648"/>
      <c r="N61" s="648"/>
      <c r="O61" s="649"/>
      <c r="P61" s="486"/>
      <c r="Q61" s="279"/>
    </row>
    <row r="62" spans="1:17" ht="31.5" x14ac:dyDescent="0.2">
      <c r="A62" s="647" t="s">
        <v>357</v>
      </c>
      <c r="B62" s="648"/>
      <c r="C62" s="648"/>
      <c r="D62" s="648"/>
      <c r="E62" s="648"/>
      <c r="F62" s="648"/>
      <c r="G62" s="648"/>
      <c r="H62" s="648"/>
      <c r="I62" s="648"/>
      <c r="J62" s="648"/>
      <c r="K62" s="648"/>
      <c r="L62" s="648"/>
      <c r="M62" s="648"/>
      <c r="N62" s="648"/>
      <c r="O62" s="649"/>
      <c r="P62" s="583" t="s">
        <v>308</v>
      </c>
      <c r="Q62" s="279"/>
    </row>
    <row r="63" spans="1:17" ht="18.75" x14ac:dyDescent="0.2">
      <c r="A63" s="647" t="s">
        <v>358</v>
      </c>
      <c r="B63" s="648"/>
      <c r="C63" s="648"/>
      <c r="D63" s="648"/>
      <c r="E63" s="648"/>
      <c r="F63" s="648"/>
      <c r="G63" s="648"/>
      <c r="H63" s="648"/>
      <c r="I63" s="648"/>
      <c r="J63" s="648"/>
      <c r="K63" s="648"/>
      <c r="L63" s="648"/>
      <c r="M63" s="648"/>
      <c r="N63" s="648"/>
      <c r="O63" s="649"/>
      <c r="P63" s="889" t="s">
        <v>336</v>
      </c>
      <c r="Q63" s="279"/>
    </row>
    <row r="64" spans="1:17" x14ac:dyDescent="0.2">
      <c r="A64" s="647"/>
      <c r="B64" s="648"/>
      <c r="C64" s="648"/>
      <c r="D64" s="648"/>
      <c r="E64" s="648"/>
      <c r="F64" s="648"/>
      <c r="G64" s="648"/>
      <c r="H64" s="648"/>
      <c r="I64" s="648"/>
      <c r="J64" s="648"/>
      <c r="K64" s="648"/>
      <c r="L64" s="648"/>
      <c r="M64" s="648"/>
      <c r="N64" s="648"/>
      <c r="O64" s="648"/>
      <c r="P64" s="854"/>
      <c r="Q64" s="279"/>
    </row>
    <row r="65" spans="3:19" x14ac:dyDescent="0.2">
      <c r="C65" s="485"/>
      <c r="D65" s="485"/>
      <c r="E65" s="485"/>
      <c r="F65" s="485"/>
      <c r="G65" s="485"/>
      <c r="H65" s="485"/>
      <c r="I65" s="485"/>
      <c r="J65" s="485"/>
      <c r="K65" s="485"/>
      <c r="L65" s="485"/>
      <c r="M65" s="485"/>
      <c r="N65" s="485"/>
      <c r="O65" s="204"/>
      <c r="R65" s="211"/>
    </row>
    <row r="66" spans="3:19" x14ac:dyDescent="0.2">
      <c r="C66" s="212"/>
      <c r="D66" s="212"/>
      <c r="E66" s="214"/>
      <c r="F66" s="214"/>
      <c r="G66" s="214"/>
      <c r="H66" s="214"/>
      <c r="I66" s="214"/>
      <c r="J66" s="214"/>
      <c r="K66" s="214"/>
      <c r="L66" s="216"/>
      <c r="M66" s="214"/>
      <c r="N66" s="214"/>
      <c r="O66" s="211"/>
      <c r="P66" s="195"/>
    </row>
    <row r="68" spans="3:19" x14ac:dyDescent="0.2">
      <c r="C68" s="204"/>
      <c r="D68" s="204"/>
      <c r="E68" s="204"/>
      <c r="F68" s="204"/>
      <c r="G68" s="204"/>
      <c r="H68" s="204"/>
      <c r="I68" s="204"/>
      <c r="J68" s="204"/>
      <c r="K68" s="204"/>
      <c r="L68" s="204"/>
    </row>
    <row r="73" spans="3:19" x14ac:dyDescent="0.2">
      <c r="C73" s="217"/>
      <c r="D73" s="217"/>
      <c r="E73" s="217"/>
      <c r="F73" s="217"/>
      <c r="G73" s="217"/>
      <c r="H73" s="217"/>
      <c r="I73" s="217"/>
      <c r="J73" s="217"/>
      <c r="K73" s="217"/>
      <c r="L73" s="217"/>
      <c r="M73" s="217"/>
      <c r="N73" s="217"/>
      <c r="O73" s="217"/>
    </row>
    <row r="74" spans="3:19" x14ac:dyDescent="0.2">
      <c r="C74" s="218"/>
      <c r="D74" s="218"/>
      <c r="E74" s="218"/>
      <c r="F74" s="218"/>
      <c r="G74" s="218"/>
      <c r="H74" s="218"/>
      <c r="I74" s="218"/>
      <c r="J74" s="218"/>
      <c r="K74" s="218"/>
      <c r="L74" s="218"/>
      <c r="M74" s="218"/>
      <c r="N74" s="218"/>
    </row>
    <row r="75" spans="3:19" x14ac:dyDescent="0.2">
      <c r="O75" s="211"/>
      <c r="S75" s="204"/>
    </row>
    <row r="76" spans="3:19" x14ac:dyDescent="0.2">
      <c r="C76" s="204"/>
      <c r="K76" s="204"/>
      <c r="L76" s="204"/>
      <c r="N76" s="204"/>
      <c r="O76" s="219"/>
      <c r="S76" s="219"/>
    </row>
    <row r="77" spans="3:19" x14ac:dyDescent="0.2">
      <c r="D77" s="849"/>
      <c r="E77" s="849"/>
      <c r="K77" s="204"/>
      <c r="L77" s="204"/>
      <c r="N77" s="204"/>
      <c r="O77" s="211"/>
      <c r="S77" s="211"/>
    </row>
    <row r="78" spans="3:19" x14ac:dyDescent="0.2">
      <c r="C78" s="211"/>
      <c r="D78" s="850"/>
      <c r="E78" s="850"/>
      <c r="L78" s="204"/>
    </row>
    <row r="79" spans="3:19" x14ac:dyDescent="0.2">
      <c r="C79" s="220"/>
      <c r="D79" s="851"/>
      <c r="E79" s="852"/>
    </row>
    <row r="80" spans="3:19" x14ac:dyDescent="0.2">
      <c r="D80" s="195"/>
      <c r="E80" s="853"/>
      <c r="F80" s="218"/>
      <c r="G80" s="218"/>
      <c r="L80" s="217"/>
    </row>
    <row r="82" spans="3:16" x14ac:dyDescent="0.2">
      <c r="C82" s="280"/>
      <c r="D82" s="280"/>
      <c r="E82" s="280"/>
    </row>
    <row r="83" spans="3:16" x14ac:dyDescent="0.2">
      <c r="N83" s="204"/>
      <c r="O83" s="204"/>
      <c r="P83" s="204"/>
    </row>
    <row r="84" spans="3:16" x14ac:dyDescent="0.2">
      <c r="N84" s="197"/>
      <c r="O84" s="197"/>
      <c r="P84" s="322"/>
    </row>
    <row r="85" spans="3:16" x14ac:dyDescent="0.2">
      <c r="C85" s="219"/>
      <c r="D85" s="219"/>
      <c r="E85" s="219"/>
      <c r="F85" s="219"/>
      <c r="G85" s="219"/>
      <c r="H85" s="219"/>
      <c r="I85" s="219"/>
      <c r="J85" s="219"/>
      <c r="K85" s="219"/>
      <c r="L85" s="219"/>
      <c r="M85" s="219"/>
      <c r="N85" s="219"/>
    </row>
    <row r="86" spans="3:16" x14ac:dyDescent="0.2">
      <c r="C86" s="204"/>
      <c r="N86" s="609"/>
      <c r="O86" s="609"/>
      <c r="P86" s="609"/>
    </row>
    <row r="87" spans="3:16" x14ac:dyDescent="0.2">
      <c r="C87" s="204"/>
    </row>
    <row r="88" spans="3:16" x14ac:dyDescent="0.2">
      <c r="C88" s="204"/>
    </row>
    <row r="89" spans="3:16" x14ac:dyDescent="0.2">
      <c r="C89" s="204"/>
    </row>
    <row r="90" spans="3:16" x14ac:dyDescent="0.2">
      <c r="C90" s="204"/>
    </row>
    <row r="91" spans="3:16" x14ac:dyDescent="0.2">
      <c r="C91" s="204"/>
    </row>
    <row r="92" spans="3:16" x14ac:dyDescent="0.2">
      <c r="C92" s="204"/>
    </row>
  </sheetData>
  <mergeCells count="13">
    <mergeCell ref="A58:A59"/>
    <mergeCell ref="A60:O60"/>
    <mergeCell ref="A61:O61"/>
    <mergeCell ref="D77:E77"/>
    <mergeCell ref="A1:O1"/>
    <mergeCell ref="A3:A24"/>
    <mergeCell ref="A25:A37"/>
    <mergeCell ref="A38:A43"/>
    <mergeCell ref="A44:A47"/>
    <mergeCell ref="A48:A57"/>
    <mergeCell ref="A62:O62"/>
    <mergeCell ref="A63:O63"/>
    <mergeCell ref="A64:O64"/>
  </mergeCells>
  <printOptions horizontalCentered="1" gridLines="1"/>
  <pageMargins left="0.28999999999999998" right="0.28999999999999998" top="0.7" bottom="0.43" header="0.3" footer="0.27"/>
  <pageSetup scale="42"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W153"/>
  <sheetViews>
    <sheetView view="pageBreakPreview" topLeftCell="A97" zoomScale="80" zoomScaleNormal="100" zoomScaleSheetLayoutView="80" workbookViewId="0">
      <selection activeCell="I68" sqref="I68"/>
    </sheetView>
  </sheetViews>
  <sheetFormatPr defaultColWidth="9.140625" defaultRowHeight="15.75" x14ac:dyDescent="0.25"/>
  <cols>
    <col min="1" max="1" width="9.140625" style="324"/>
    <col min="2" max="2" width="44.7109375" style="16" bestFit="1" customWidth="1"/>
    <col min="3" max="3" width="14" style="16" customWidth="1"/>
    <col min="4" max="4" width="8.5703125" style="16" hidden="1" customWidth="1"/>
    <col min="5" max="5" width="22.7109375" style="16" customWidth="1"/>
    <col min="6" max="6" width="14.42578125" style="16" bestFit="1" customWidth="1"/>
    <col min="7" max="7" width="14.28515625" style="16" customWidth="1"/>
    <col min="8" max="8" width="21.5703125" style="16" hidden="1" customWidth="1"/>
    <col min="9" max="9" width="21.140625" style="16" customWidth="1"/>
    <col min="10" max="18" width="10.5703125" style="16" customWidth="1"/>
    <col min="19" max="19" width="9.5703125" style="16" bestFit="1" customWidth="1"/>
    <col min="20" max="24" width="9.28515625" style="16" customWidth="1"/>
    <col min="25" max="26" width="9.5703125" style="16" bestFit="1" customWidth="1"/>
    <col min="27" max="27" width="10.140625" style="16" bestFit="1" customWidth="1"/>
    <col min="28" max="28" width="9.5703125" style="106" bestFit="1" customWidth="1"/>
    <col min="29" max="30" width="9.5703125" style="16" bestFit="1" customWidth="1"/>
    <col min="31" max="31" width="12.28515625" style="16" bestFit="1" customWidth="1"/>
    <col min="32" max="37" width="9.28515625" style="16" customWidth="1"/>
    <col min="38" max="38" width="9.140625" style="16"/>
    <col min="39" max="44" width="9.5703125" style="16" bestFit="1" customWidth="1"/>
    <col min="45" max="45" width="17" style="16" customWidth="1"/>
    <col min="46" max="47" width="9.5703125" style="16" bestFit="1" customWidth="1"/>
    <col min="48" max="49" width="9.42578125" style="16" bestFit="1" customWidth="1"/>
    <col min="50" max="16384" width="9.140625" style="16"/>
  </cols>
  <sheetData>
    <row r="1" spans="2:37" x14ac:dyDescent="0.25">
      <c r="B1" s="747" t="s">
        <v>105</v>
      </c>
      <c r="C1" s="748"/>
      <c r="D1" s="748"/>
      <c r="E1" s="748"/>
      <c r="F1" s="748"/>
      <c r="G1" s="748"/>
      <c r="H1" s="748"/>
      <c r="I1" s="748"/>
      <c r="J1" s="749"/>
      <c r="K1" s="40"/>
      <c r="L1" s="40"/>
      <c r="M1" s="40"/>
      <c r="N1" s="40"/>
      <c r="O1" s="40"/>
      <c r="P1" s="40"/>
      <c r="Q1" s="40"/>
      <c r="R1" s="40"/>
    </row>
    <row r="2" spans="2:37" ht="57.75" customHeight="1" x14ac:dyDescent="0.25">
      <c r="B2" s="508"/>
      <c r="C2" s="80" t="s">
        <v>261</v>
      </c>
      <c r="D2" s="81" t="s">
        <v>106</v>
      </c>
      <c r="E2" s="81" t="s">
        <v>262</v>
      </c>
      <c r="F2" s="82" t="s">
        <v>28</v>
      </c>
      <c r="G2" s="80" t="s">
        <v>263</v>
      </c>
      <c r="H2" s="81" t="s">
        <v>107</v>
      </c>
      <c r="I2" s="81" t="s">
        <v>264</v>
      </c>
      <c r="J2" s="509" t="s">
        <v>29</v>
      </c>
      <c r="K2" s="41"/>
      <c r="L2" s="41"/>
      <c r="M2" s="41"/>
      <c r="N2" s="41"/>
      <c r="O2" s="41"/>
      <c r="P2" s="41"/>
      <c r="Q2" s="41"/>
      <c r="R2" s="41"/>
      <c r="AB2" s="107"/>
      <c r="AH2" s="108"/>
      <c r="AI2" s="108"/>
    </row>
    <row r="3" spans="2:37" s="15" customFormat="1" ht="16.5" hidden="1" thickBot="1" x14ac:dyDescent="0.3">
      <c r="B3" s="226">
        <v>39995</v>
      </c>
      <c r="C3" s="29">
        <v>65349</v>
      </c>
      <c r="D3" s="30"/>
      <c r="E3" s="30">
        <v>0</v>
      </c>
      <c r="F3" s="30"/>
      <c r="G3" s="29">
        <v>1621</v>
      </c>
      <c r="H3" s="30"/>
      <c r="I3" s="30">
        <v>0</v>
      </c>
      <c r="J3" s="510">
        <f t="shared" ref="J3:J15" si="0">SUM(G3:I3)</f>
        <v>1621</v>
      </c>
      <c r="K3" s="32"/>
      <c r="L3" s="32"/>
      <c r="M3" s="32"/>
      <c r="N3" s="32"/>
      <c r="O3" s="32"/>
      <c r="P3" s="32"/>
      <c r="Q3" s="32"/>
      <c r="R3" s="32"/>
      <c r="AB3" s="107"/>
      <c r="AD3" s="32"/>
      <c r="AE3" s="109"/>
      <c r="AF3" s="109"/>
      <c r="AG3" s="109"/>
      <c r="AH3" s="110"/>
      <c r="AI3" s="111"/>
      <c r="AJ3" s="109"/>
      <c r="AK3" s="109"/>
    </row>
    <row r="4" spans="2:37" s="15" customFormat="1" ht="16.5" hidden="1" thickBot="1" x14ac:dyDescent="0.3">
      <c r="B4" s="226">
        <v>40026</v>
      </c>
      <c r="C4" s="31">
        <v>66531</v>
      </c>
      <c r="D4" s="32"/>
      <c r="E4" s="32">
        <v>0</v>
      </c>
      <c r="F4" s="32"/>
      <c r="G4" s="31">
        <v>1568</v>
      </c>
      <c r="H4" s="32"/>
      <c r="I4" s="32">
        <v>0</v>
      </c>
      <c r="J4" s="338">
        <f t="shared" si="0"/>
        <v>1568</v>
      </c>
      <c r="K4" s="32"/>
      <c r="L4" s="32"/>
      <c r="M4" s="32"/>
      <c r="N4" s="32"/>
      <c r="O4" s="32"/>
      <c r="P4" s="32"/>
      <c r="Q4" s="32"/>
      <c r="R4" s="32"/>
      <c r="S4" s="32"/>
      <c r="T4" s="32"/>
      <c r="U4" s="32"/>
      <c r="V4" s="32"/>
      <c r="W4" s="32"/>
      <c r="X4" s="32"/>
      <c r="Y4" s="32"/>
      <c r="Z4" s="32"/>
      <c r="AB4" s="107"/>
      <c r="AD4" s="32"/>
      <c r="AE4" s="109"/>
      <c r="AF4" s="10"/>
      <c r="AG4" s="10"/>
      <c r="AH4" s="110"/>
      <c r="AI4" s="111"/>
      <c r="AJ4" s="109"/>
      <c r="AK4" s="10"/>
    </row>
    <row r="5" spans="2:37" s="15" customFormat="1" ht="16.5" hidden="1" thickBot="1" x14ac:dyDescent="0.3">
      <c r="B5" s="226">
        <v>40057</v>
      </c>
      <c r="C5" s="31">
        <v>67239</v>
      </c>
      <c r="D5" s="32"/>
      <c r="E5" s="32">
        <v>0</v>
      </c>
      <c r="F5" s="2">
        <f t="shared" ref="F5:F15" si="1">SUM(C5:E5)</f>
        <v>67239</v>
      </c>
      <c r="G5" s="31">
        <v>1571</v>
      </c>
      <c r="H5" s="32"/>
      <c r="I5" s="32">
        <v>0</v>
      </c>
      <c r="J5" s="338">
        <f t="shared" si="0"/>
        <v>1571</v>
      </c>
      <c r="K5" s="32"/>
      <c r="L5" s="32"/>
      <c r="M5" s="32"/>
      <c r="N5" s="32"/>
      <c r="O5" s="32"/>
      <c r="P5" s="32"/>
      <c r="Q5" s="32"/>
      <c r="R5" s="32"/>
      <c r="S5" s="32"/>
      <c r="T5" s="32"/>
      <c r="U5" s="32"/>
      <c r="V5" s="32"/>
      <c r="W5" s="32"/>
      <c r="X5" s="32"/>
      <c r="Y5" s="32"/>
      <c r="Z5" s="32"/>
      <c r="AB5" s="107"/>
      <c r="AD5" s="32"/>
      <c r="AE5" s="109"/>
      <c r="AF5" s="10"/>
      <c r="AG5" s="10"/>
      <c r="AH5" s="110"/>
      <c r="AI5" s="111"/>
      <c r="AJ5" s="109"/>
      <c r="AK5" s="10"/>
    </row>
    <row r="6" spans="2:37" s="15" customFormat="1" ht="16.5" hidden="1" thickBot="1" x14ac:dyDescent="0.3">
      <c r="B6" s="226">
        <v>40087</v>
      </c>
      <c r="C6" s="31">
        <v>68234</v>
      </c>
      <c r="D6" s="32"/>
      <c r="E6" s="32">
        <v>0</v>
      </c>
      <c r="F6" s="2">
        <f t="shared" si="1"/>
        <v>68234</v>
      </c>
      <c r="G6" s="31">
        <v>1561</v>
      </c>
      <c r="H6" s="32"/>
      <c r="I6" s="32">
        <v>0</v>
      </c>
      <c r="J6" s="338">
        <f t="shared" si="0"/>
        <v>1561</v>
      </c>
      <c r="K6" s="32"/>
      <c r="L6" s="32"/>
      <c r="M6" s="32"/>
      <c r="N6" s="32"/>
      <c r="O6" s="32"/>
      <c r="P6" s="32"/>
      <c r="Q6" s="32"/>
      <c r="R6" s="32"/>
      <c r="S6" s="32"/>
      <c r="T6" s="32"/>
      <c r="U6" s="32"/>
      <c r="V6" s="32"/>
      <c r="W6" s="32"/>
      <c r="X6" s="32"/>
      <c r="Y6" s="32"/>
      <c r="Z6" s="32"/>
      <c r="AB6" s="107"/>
      <c r="AD6" s="32"/>
      <c r="AE6" s="109"/>
      <c r="AF6" s="10"/>
      <c r="AG6" s="10"/>
      <c r="AH6" s="110"/>
      <c r="AI6" s="111"/>
      <c r="AJ6" s="109"/>
      <c r="AK6" s="10"/>
    </row>
    <row r="7" spans="2:37" s="15" customFormat="1" ht="16.5" hidden="1" thickBot="1" x14ac:dyDescent="0.3">
      <c r="B7" s="226">
        <v>40118</v>
      </c>
      <c r="C7" s="31">
        <v>69011</v>
      </c>
      <c r="D7" s="32"/>
      <c r="E7" s="32">
        <v>0</v>
      </c>
      <c r="F7" s="2">
        <f t="shared" si="1"/>
        <v>69011</v>
      </c>
      <c r="G7" s="31">
        <v>1563</v>
      </c>
      <c r="H7" s="32"/>
      <c r="I7" s="32">
        <v>0</v>
      </c>
      <c r="J7" s="338">
        <f t="shared" si="0"/>
        <v>1563</v>
      </c>
      <c r="K7" s="32"/>
      <c r="L7" s="32"/>
      <c r="M7" s="32"/>
      <c r="N7" s="32"/>
      <c r="O7" s="32"/>
      <c r="P7" s="32"/>
      <c r="Q7" s="32"/>
      <c r="R7" s="32"/>
      <c r="S7" s="32"/>
      <c r="T7" s="32"/>
      <c r="U7" s="32"/>
      <c r="V7" s="32"/>
      <c r="W7" s="32"/>
      <c r="X7" s="32"/>
      <c r="Y7" s="32"/>
      <c r="Z7" s="32"/>
      <c r="AB7" s="107"/>
      <c r="AD7" s="32"/>
      <c r="AE7" s="109"/>
      <c r="AF7" s="10"/>
      <c r="AG7" s="10"/>
      <c r="AH7" s="110"/>
      <c r="AI7" s="111"/>
      <c r="AJ7" s="109"/>
      <c r="AK7" s="10"/>
    </row>
    <row r="8" spans="2:37" s="15" customFormat="1" ht="16.5" hidden="1" thickBot="1" x14ac:dyDescent="0.3">
      <c r="B8" s="226">
        <v>40148</v>
      </c>
      <c r="C8" s="31">
        <v>69640</v>
      </c>
      <c r="D8" s="32"/>
      <c r="E8" s="32">
        <v>0</v>
      </c>
      <c r="F8" s="2">
        <f t="shared" si="1"/>
        <v>69640</v>
      </c>
      <c r="G8" s="31">
        <v>1528</v>
      </c>
      <c r="H8" s="32"/>
      <c r="I8" s="32">
        <v>0</v>
      </c>
      <c r="J8" s="338">
        <f t="shared" si="0"/>
        <v>1528</v>
      </c>
      <c r="K8" s="32"/>
      <c r="L8" s="32"/>
      <c r="M8" s="32"/>
      <c r="N8" s="32"/>
      <c r="O8" s="32"/>
      <c r="P8" s="32"/>
      <c r="Q8" s="32"/>
      <c r="R8" s="32"/>
      <c r="S8" s="32"/>
      <c r="T8" s="32"/>
      <c r="U8" s="32"/>
      <c r="V8" s="32"/>
      <c r="W8" s="32"/>
      <c r="X8" s="32"/>
      <c r="Y8" s="32"/>
      <c r="Z8" s="32"/>
      <c r="AB8" s="107"/>
      <c r="AD8" s="32"/>
      <c r="AE8" s="109"/>
      <c r="AF8" s="10"/>
      <c r="AG8" s="10"/>
      <c r="AH8" s="110"/>
      <c r="AI8" s="111"/>
      <c r="AJ8" s="109"/>
      <c r="AK8" s="10"/>
    </row>
    <row r="9" spans="2:37" s="15" customFormat="1" ht="16.5" hidden="1" thickBot="1" x14ac:dyDescent="0.3">
      <c r="B9" s="226">
        <v>40179</v>
      </c>
      <c r="C9" s="31">
        <v>70186</v>
      </c>
      <c r="D9" s="32"/>
      <c r="E9" s="32">
        <v>0</v>
      </c>
      <c r="F9" s="2">
        <f t="shared" si="1"/>
        <v>70186</v>
      </c>
      <c r="G9" s="31">
        <v>1532</v>
      </c>
      <c r="H9" s="32"/>
      <c r="I9" s="32">
        <v>0</v>
      </c>
      <c r="J9" s="338">
        <f t="shared" si="0"/>
        <v>1532</v>
      </c>
      <c r="K9" s="32"/>
      <c r="L9" s="32"/>
      <c r="M9" s="32"/>
      <c r="N9" s="32"/>
      <c r="O9" s="32"/>
      <c r="P9" s="32"/>
      <c r="Q9" s="32"/>
      <c r="R9" s="32"/>
      <c r="S9" s="32"/>
      <c r="T9" s="32"/>
      <c r="U9" s="32"/>
      <c r="V9" s="32"/>
      <c r="W9" s="32"/>
      <c r="X9" s="32"/>
      <c r="Y9" s="32"/>
      <c r="Z9" s="32"/>
      <c r="AB9" s="107"/>
      <c r="AD9" s="32"/>
      <c r="AE9" s="109"/>
      <c r="AF9" s="10"/>
      <c r="AG9" s="10"/>
      <c r="AH9" s="110"/>
      <c r="AI9" s="111"/>
      <c r="AJ9" s="109"/>
      <c r="AK9" s="10"/>
    </row>
    <row r="10" spans="2:37" s="15" customFormat="1" ht="16.5" hidden="1" thickBot="1" x14ac:dyDescent="0.3">
      <c r="B10" s="226">
        <v>40210</v>
      </c>
      <c r="C10" s="31">
        <v>69887</v>
      </c>
      <c r="D10" s="32"/>
      <c r="E10" s="32">
        <v>0</v>
      </c>
      <c r="F10" s="2">
        <f t="shared" si="1"/>
        <v>69887</v>
      </c>
      <c r="G10" s="31">
        <v>1523</v>
      </c>
      <c r="H10" s="32"/>
      <c r="I10" s="32">
        <v>0</v>
      </c>
      <c r="J10" s="338">
        <f t="shared" si="0"/>
        <v>1523</v>
      </c>
      <c r="K10" s="32"/>
      <c r="L10" s="32"/>
      <c r="M10" s="32"/>
      <c r="N10" s="32"/>
      <c r="O10" s="32"/>
      <c r="P10" s="32"/>
      <c r="Q10" s="32"/>
      <c r="R10" s="32"/>
      <c r="S10" s="32"/>
      <c r="T10" s="32"/>
      <c r="U10" s="32"/>
      <c r="V10" s="32"/>
      <c r="W10" s="32"/>
      <c r="X10" s="32"/>
      <c r="Y10" s="32"/>
      <c r="Z10" s="32"/>
      <c r="AB10" s="107"/>
      <c r="AD10" s="32"/>
      <c r="AE10" s="109"/>
      <c r="AF10" s="10"/>
      <c r="AG10" s="10"/>
      <c r="AH10" s="110"/>
      <c r="AI10" s="111"/>
      <c r="AJ10" s="109"/>
      <c r="AK10" s="10"/>
    </row>
    <row r="11" spans="2:37" s="15" customFormat="1" ht="16.5" hidden="1" thickBot="1" x14ac:dyDescent="0.3">
      <c r="B11" s="226">
        <v>40238</v>
      </c>
      <c r="C11" s="31">
        <v>70212</v>
      </c>
      <c r="D11" s="32"/>
      <c r="E11" s="32">
        <v>0</v>
      </c>
      <c r="F11" s="2">
        <f t="shared" si="1"/>
        <v>70212</v>
      </c>
      <c r="G11" s="31">
        <v>1550</v>
      </c>
      <c r="H11" s="32"/>
      <c r="I11" s="32">
        <v>0</v>
      </c>
      <c r="J11" s="338">
        <f t="shared" si="0"/>
        <v>1550</v>
      </c>
      <c r="K11" s="32"/>
      <c r="L11" s="32"/>
      <c r="M11" s="32"/>
      <c r="N11" s="32"/>
      <c r="O11" s="32"/>
      <c r="P11" s="32"/>
      <c r="Q11" s="32"/>
      <c r="R11" s="32"/>
      <c r="S11" s="32"/>
      <c r="T11" s="32"/>
      <c r="U11" s="32"/>
      <c r="V11" s="32"/>
      <c r="W11" s="32"/>
      <c r="X11" s="32"/>
      <c r="Y11" s="32"/>
      <c r="Z11" s="32"/>
      <c r="AB11" s="107"/>
      <c r="AD11" s="32"/>
      <c r="AE11" s="109"/>
      <c r="AF11" s="10"/>
      <c r="AG11" s="10"/>
      <c r="AH11" s="110"/>
      <c r="AI11" s="111"/>
      <c r="AJ11" s="109"/>
      <c r="AK11" s="10"/>
    </row>
    <row r="12" spans="2:37" s="15" customFormat="1" ht="16.5" hidden="1" thickBot="1" x14ac:dyDescent="0.3">
      <c r="B12" s="226">
        <v>40269</v>
      </c>
      <c r="C12" s="31">
        <v>69663</v>
      </c>
      <c r="D12" s="32"/>
      <c r="E12" s="32">
        <v>0</v>
      </c>
      <c r="F12" s="2">
        <f t="shared" si="1"/>
        <v>69663</v>
      </c>
      <c r="G12" s="31">
        <v>1517</v>
      </c>
      <c r="H12" s="32"/>
      <c r="I12" s="32">
        <v>0</v>
      </c>
      <c r="J12" s="338">
        <f t="shared" si="0"/>
        <v>1517</v>
      </c>
      <c r="K12" s="32"/>
      <c r="L12" s="32"/>
      <c r="M12" s="32"/>
      <c r="N12" s="32"/>
      <c r="O12" s="32"/>
      <c r="P12" s="32"/>
      <c r="Q12" s="32"/>
      <c r="R12" s="32"/>
      <c r="S12" s="32"/>
      <c r="T12" s="32"/>
      <c r="U12" s="32"/>
      <c r="V12" s="32"/>
      <c r="W12" s="32"/>
      <c r="X12" s="32"/>
      <c r="Y12" s="32"/>
      <c r="Z12" s="32"/>
      <c r="AB12" s="107"/>
      <c r="AD12" s="32"/>
      <c r="AE12" s="109"/>
      <c r="AF12" s="10"/>
      <c r="AG12" s="10"/>
      <c r="AH12" s="110"/>
      <c r="AI12" s="111"/>
      <c r="AJ12" s="109"/>
      <c r="AK12" s="10"/>
    </row>
    <row r="13" spans="2:37" s="15" customFormat="1" ht="16.5" hidden="1" thickBot="1" x14ac:dyDescent="0.3">
      <c r="B13" s="226">
        <v>40299</v>
      </c>
      <c r="C13" s="31">
        <v>68771</v>
      </c>
      <c r="D13" s="32"/>
      <c r="E13" s="32">
        <v>600</v>
      </c>
      <c r="F13" s="2">
        <f t="shared" si="1"/>
        <v>69371</v>
      </c>
      <c r="G13" s="31">
        <v>1529</v>
      </c>
      <c r="H13" s="32"/>
      <c r="I13" s="32">
        <v>46</v>
      </c>
      <c r="J13" s="338">
        <f t="shared" si="0"/>
        <v>1575</v>
      </c>
      <c r="K13" s="32"/>
      <c r="L13" s="32"/>
      <c r="M13" s="32"/>
      <c r="N13" s="32"/>
      <c r="O13" s="32"/>
      <c r="P13" s="32"/>
      <c r="Q13" s="32"/>
      <c r="R13" s="32"/>
      <c r="S13" s="32"/>
      <c r="T13" s="32"/>
      <c r="U13" s="32"/>
      <c r="V13" s="32"/>
      <c r="W13" s="32"/>
      <c r="X13" s="32"/>
      <c r="Y13" s="32"/>
      <c r="Z13" s="32"/>
      <c r="AB13" s="107"/>
      <c r="AD13" s="32"/>
      <c r="AE13" s="109"/>
      <c r="AF13" s="10"/>
      <c r="AG13" s="10"/>
      <c r="AH13" s="110"/>
      <c r="AI13" s="111"/>
      <c r="AJ13" s="109"/>
      <c r="AK13" s="10"/>
    </row>
    <row r="14" spans="2:37" s="15" customFormat="1" ht="16.5" hidden="1" thickBot="1" x14ac:dyDescent="0.3">
      <c r="B14" s="226">
        <v>40330</v>
      </c>
      <c r="C14" s="31">
        <v>68340</v>
      </c>
      <c r="D14" s="32"/>
      <c r="E14" s="32">
        <v>1029</v>
      </c>
      <c r="F14" s="2">
        <f t="shared" si="1"/>
        <v>69369</v>
      </c>
      <c r="G14" s="31">
        <v>1524</v>
      </c>
      <c r="H14" s="32"/>
      <c r="I14" s="32">
        <v>83</v>
      </c>
      <c r="J14" s="338">
        <f t="shared" si="0"/>
        <v>1607</v>
      </c>
      <c r="K14" s="32"/>
      <c r="L14" s="32"/>
      <c r="M14" s="32"/>
      <c r="N14" s="32"/>
      <c r="O14" s="32"/>
      <c r="P14" s="32"/>
      <c r="Q14" s="32"/>
      <c r="R14" s="32"/>
      <c r="S14" s="32"/>
      <c r="T14" s="32"/>
      <c r="U14" s="32"/>
      <c r="V14" s="32"/>
      <c r="W14" s="32"/>
      <c r="X14" s="32"/>
      <c r="Y14" s="32"/>
      <c r="Z14" s="32"/>
      <c r="AB14" s="107"/>
      <c r="AD14" s="32"/>
      <c r="AE14" s="109"/>
      <c r="AF14" s="10"/>
      <c r="AG14" s="10"/>
      <c r="AH14" s="110"/>
      <c r="AI14" s="111"/>
      <c r="AJ14" s="109"/>
      <c r="AK14" s="10"/>
    </row>
    <row r="15" spans="2:37" s="112" customFormat="1" ht="16.5" hidden="1" thickBot="1" x14ac:dyDescent="0.3">
      <c r="B15" s="228" t="s">
        <v>98</v>
      </c>
      <c r="C15" s="33">
        <f>ROUND(AVERAGE(C3:C14),0)</f>
        <v>68589</v>
      </c>
      <c r="D15" s="34"/>
      <c r="E15" s="34">
        <f>ROUND(AVERAGE(E3:E14),0)</f>
        <v>136</v>
      </c>
      <c r="F15" s="24">
        <f t="shared" si="1"/>
        <v>68725</v>
      </c>
      <c r="G15" s="33">
        <f>ROUND(AVERAGE(G3:G14),0)</f>
        <v>1549</v>
      </c>
      <c r="H15" s="34"/>
      <c r="I15" s="34">
        <f>ROUND(AVERAGE(I3:I14),0)</f>
        <v>11</v>
      </c>
      <c r="J15" s="511">
        <f t="shared" si="0"/>
        <v>1560</v>
      </c>
      <c r="K15" s="34"/>
      <c r="L15" s="34"/>
      <c r="M15" s="34"/>
      <c r="N15" s="34"/>
      <c r="O15" s="34"/>
      <c r="P15" s="34"/>
      <c r="Q15" s="34"/>
      <c r="R15" s="34"/>
      <c r="AB15" s="107"/>
      <c r="AC15" s="15"/>
      <c r="AH15" s="110"/>
      <c r="AI15" s="113"/>
    </row>
    <row r="16" spans="2:37" ht="16.5" hidden="1" thickBot="1" x14ac:dyDescent="0.3">
      <c r="B16" s="226">
        <v>40360</v>
      </c>
      <c r="C16" s="31">
        <v>1338</v>
      </c>
      <c r="D16" s="32"/>
      <c r="E16" s="32">
        <v>1511</v>
      </c>
      <c r="F16" s="2">
        <f t="shared" ref="F16:F21" si="2">SUM(C16:E16)</f>
        <v>2849</v>
      </c>
      <c r="G16" s="31">
        <v>1485</v>
      </c>
      <c r="H16" s="32"/>
      <c r="I16" s="32">
        <v>124</v>
      </c>
      <c r="J16" s="338">
        <f t="shared" ref="J16:J21" si="3">SUM(G16:I16)</f>
        <v>1609</v>
      </c>
      <c r="K16" s="32"/>
      <c r="L16" s="32"/>
      <c r="M16" s="32"/>
      <c r="N16" s="32"/>
      <c r="O16" s="32"/>
      <c r="P16" s="32"/>
      <c r="Q16" s="32"/>
      <c r="R16" s="32"/>
      <c r="S16" s="17"/>
      <c r="T16" s="17"/>
      <c r="U16" s="17"/>
      <c r="V16" s="17"/>
      <c r="W16" s="17"/>
      <c r="X16" s="17"/>
      <c r="Y16" s="17"/>
      <c r="AB16" s="114"/>
      <c r="AC16" s="115"/>
      <c r="AD16" s="32"/>
      <c r="AE16" s="109"/>
      <c r="AF16" s="10"/>
      <c r="AG16" s="10"/>
      <c r="AH16" s="110"/>
      <c r="AI16" s="111"/>
      <c r="AJ16" s="109"/>
      <c r="AK16" s="10"/>
    </row>
    <row r="17" spans="2:49" ht="16.5" hidden="1" thickBot="1" x14ac:dyDescent="0.3">
      <c r="B17" s="226">
        <v>40391</v>
      </c>
      <c r="C17" s="31">
        <v>67389</v>
      </c>
      <c r="D17" s="32"/>
      <c r="E17" s="32">
        <v>2018</v>
      </c>
      <c r="F17" s="2">
        <f t="shared" si="2"/>
        <v>69407</v>
      </c>
      <c r="G17" s="31">
        <v>1488</v>
      </c>
      <c r="H17" s="32"/>
      <c r="I17" s="32">
        <v>162</v>
      </c>
      <c r="J17" s="338">
        <f t="shared" si="3"/>
        <v>1650</v>
      </c>
      <c r="K17" s="32"/>
      <c r="L17" s="32"/>
      <c r="M17" s="32"/>
      <c r="N17" s="32"/>
      <c r="O17" s="32"/>
      <c r="P17" s="32"/>
      <c r="Q17" s="32"/>
      <c r="R17" s="32"/>
      <c r="S17" s="17"/>
      <c r="T17" s="17"/>
      <c r="U17" s="17"/>
      <c r="V17" s="17"/>
      <c r="W17" s="17"/>
      <c r="X17" s="17"/>
      <c r="Y17" s="17"/>
      <c r="Z17" s="17"/>
      <c r="AB17" s="107"/>
      <c r="AD17" s="32"/>
      <c r="AE17" s="109"/>
      <c r="AF17" s="10"/>
      <c r="AG17" s="10"/>
      <c r="AH17" s="110"/>
      <c r="AI17" s="111"/>
      <c r="AJ17" s="109"/>
      <c r="AK17" s="10"/>
    </row>
    <row r="18" spans="2:49" ht="16.5" hidden="1" thickBot="1" x14ac:dyDescent="0.3">
      <c r="B18" s="226">
        <v>40422</v>
      </c>
      <c r="C18" s="31">
        <v>65824</v>
      </c>
      <c r="D18" s="32"/>
      <c r="E18" s="32">
        <v>2505</v>
      </c>
      <c r="F18" s="2">
        <f t="shared" si="2"/>
        <v>68329</v>
      </c>
      <c r="G18" s="31">
        <v>1457</v>
      </c>
      <c r="H18" s="32"/>
      <c r="I18" s="32">
        <v>187</v>
      </c>
      <c r="J18" s="338">
        <f t="shared" si="3"/>
        <v>1644</v>
      </c>
      <c r="K18" s="32"/>
      <c r="L18" s="32"/>
      <c r="M18" s="32"/>
      <c r="N18" s="32"/>
      <c r="O18" s="32"/>
      <c r="P18" s="32"/>
      <c r="Q18" s="32"/>
      <c r="R18" s="32"/>
      <c r="S18" s="17"/>
      <c r="T18" s="17"/>
      <c r="U18" s="17"/>
      <c r="V18" s="17"/>
      <c r="W18" s="17"/>
      <c r="X18" s="17"/>
      <c r="Y18" s="17"/>
      <c r="Z18" s="17"/>
      <c r="AB18" s="107"/>
      <c r="AD18" s="32"/>
      <c r="AE18" s="109"/>
      <c r="AF18" s="10"/>
      <c r="AG18" s="10"/>
      <c r="AH18" s="110"/>
      <c r="AI18" s="111"/>
      <c r="AJ18" s="109"/>
      <c r="AK18" s="10"/>
    </row>
    <row r="19" spans="2:49" ht="16.5" hidden="1" thickBot="1" x14ac:dyDescent="0.3">
      <c r="B19" s="226">
        <v>40452</v>
      </c>
      <c r="C19" s="31">
        <v>63930</v>
      </c>
      <c r="D19" s="32"/>
      <c r="E19" s="32">
        <v>2935</v>
      </c>
      <c r="F19" s="2">
        <f t="shared" si="2"/>
        <v>66865</v>
      </c>
      <c r="G19" s="31">
        <v>1417</v>
      </c>
      <c r="H19" s="32"/>
      <c r="I19" s="32">
        <v>206</v>
      </c>
      <c r="J19" s="338">
        <f t="shared" si="3"/>
        <v>1623</v>
      </c>
      <c r="K19" s="32"/>
      <c r="L19" s="32"/>
      <c r="M19" s="32"/>
      <c r="N19" s="32"/>
      <c r="O19" s="32"/>
      <c r="P19" s="32"/>
      <c r="Q19" s="32"/>
      <c r="R19" s="32"/>
      <c r="S19" s="17"/>
      <c r="T19" s="17"/>
      <c r="U19" s="17"/>
      <c r="V19" s="17"/>
      <c r="W19" s="17"/>
      <c r="X19" s="17"/>
      <c r="Y19" s="17"/>
      <c r="Z19" s="17"/>
      <c r="AB19" s="107"/>
      <c r="AD19" s="32"/>
      <c r="AE19" s="109"/>
      <c r="AF19" s="10"/>
      <c r="AG19" s="10"/>
      <c r="AH19" s="110"/>
      <c r="AI19" s="111"/>
      <c r="AJ19" s="109"/>
      <c r="AK19" s="10"/>
    </row>
    <row r="20" spans="2:49" ht="16.5" hidden="1" thickBot="1" x14ac:dyDescent="0.3">
      <c r="B20" s="226">
        <v>40483</v>
      </c>
      <c r="C20" s="31">
        <v>63053</v>
      </c>
      <c r="D20" s="32"/>
      <c r="E20" s="32">
        <v>3342</v>
      </c>
      <c r="F20" s="2">
        <f t="shared" si="2"/>
        <v>66395</v>
      </c>
      <c r="G20" s="31">
        <v>1424</v>
      </c>
      <c r="H20" s="32"/>
      <c r="I20" s="32">
        <v>228</v>
      </c>
      <c r="J20" s="338">
        <f t="shared" si="3"/>
        <v>1652</v>
      </c>
      <c r="K20" s="32"/>
      <c r="L20" s="32"/>
      <c r="M20" s="32"/>
      <c r="N20" s="32"/>
      <c r="O20" s="32"/>
      <c r="P20" s="32"/>
      <c r="Q20" s="32"/>
      <c r="R20" s="32"/>
      <c r="S20" s="17"/>
      <c r="T20" s="17"/>
      <c r="U20" s="17"/>
      <c r="V20" s="17"/>
      <c r="W20" s="17"/>
      <c r="X20" s="17"/>
      <c r="Y20" s="17"/>
      <c r="Z20" s="17"/>
      <c r="AB20" s="107"/>
      <c r="AD20" s="32"/>
      <c r="AE20" s="109"/>
      <c r="AF20" s="10"/>
      <c r="AG20" s="10"/>
      <c r="AH20" s="110"/>
      <c r="AI20" s="111"/>
      <c r="AJ20" s="109"/>
      <c r="AK20" s="10"/>
    </row>
    <row r="21" spans="2:49" ht="16.5" hidden="1" thickBot="1" x14ac:dyDescent="0.3">
      <c r="B21" s="226">
        <v>40513</v>
      </c>
      <c r="C21" s="31">
        <v>62818</v>
      </c>
      <c r="D21" s="32"/>
      <c r="E21" s="32">
        <v>3759</v>
      </c>
      <c r="F21" s="2">
        <f t="shared" si="2"/>
        <v>66577</v>
      </c>
      <c r="G21" s="31">
        <v>1431</v>
      </c>
      <c r="H21" s="32"/>
      <c r="I21" s="32">
        <v>270</v>
      </c>
      <c r="J21" s="338">
        <f t="shared" si="3"/>
        <v>1701</v>
      </c>
      <c r="K21" s="32"/>
      <c r="L21" s="32"/>
      <c r="M21" s="32"/>
      <c r="N21" s="32"/>
      <c r="O21" s="32"/>
      <c r="P21" s="32"/>
      <c r="Q21" s="32"/>
      <c r="R21" s="32"/>
      <c r="S21" s="17"/>
      <c r="T21" s="17"/>
      <c r="U21" s="17"/>
      <c r="V21" s="17"/>
      <c r="W21" s="17"/>
      <c r="X21" s="17"/>
      <c r="Y21" s="17"/>
      <c r="Z21" s="17"/>
      <c r="AA21" s="17"/>
      <c r="AB21" s="107"/>
      <c r="AD21" s="32"/>
      <c r="AE21" s="109"/>
      <c r="AF21" s="10"/>
      <c r="AG21" s="10"/>
      <c r="AH21" s="110"/>
      <c r="AI21" s="111"/>
      <c r="AJ21" s="109"/>
      <c r="AK21" s="10"/>
    </row>
    <row r="22" spans="2:49" ht="16.5" hidden="1" thickBot="1" x14ac:dyDescent="0.3">
      <c r="B22" s="226">
        <v>40544</v>
      </c>
      <c r="C22" s="31">
        <v>63103</v>
      </c>
      <c r="D22" s="32"/>
      <c r="E22" s="32">
        <v>4316</v>
      </c>
      <c r="F22" s="2">
        <f t="shared" ref="F22:F29" si="4">SUM(C22:E22)</f>
        <v>67419</v>
      </c>
      <c r="G22" s="31">
        <v>1477</v>
      </c>
      <c r="H22" s="32"/>
      <c r="I22" s="32">
        <v>325</v>
      </c>
      <c r="J22" s="338">
        <f t="shared" ref="J22:J29" si="5">SUM(G22:I22)</f>
        <v>1802</v>
      </c>
      <c r="K22" s="32"/>
      <c r="L22" s="32"/>
      <c r="M22" s="32"/>
      <c r="N22" s="32"/>
      <c r="O22" s="32"/>
      <c r="P22" s="32"/>
      <c r="Q22" s="32"/>
      <c r="R22" s="32"/>
      <c r="S22" s="17"/>
      <c r="T22" s="17"/>
      <c r="U22" s="17"/>
      <c r="V22" s="17"/>
      <c r="W22" s="17"/>
      <c r="X22" s="17"/>
      <c r="Y22" s="17"/>
      <c r="Z22" s="17"/>
      <c r="AB22" s="107"/>
      <c r="AD22" s="32"/>
      <c r="AE22" s="109"/>
      <c r="AF22" s="10"/>
      <c r="AG22" s="10"/>
      <c r="AH22" s="110"/>
      <c r="AI22" s="111"/>
      <c r="AJ22" s="109"/>
      <c r="AK22" s="10"/>
    </row>
    <row r="23" spans="2:49" ht="16.5" hidden="1" thickBot="1" x14ac:dyDescent="0.3">
      <c r="B23" s="226">
        <v>40575</v>
      </c>
      <c r="C23" s="31">
        <v>62932</v>
      </c>
      <c r="D23" s="32"/>
      <c r="E23" s="32">
        <v>4888</v>
      </c>
      <c r="F23" s="2">
        <f t="shared" si="4"/>
        <v>67820</v>
      </c>
      <c r="G23" s="31">
        <v>1478</v>
      </c>
      <c r="H23" s="32"/>
      <c r="I23" s="32">
        <v>357</v>
      </c>
      <c r="J23" s="338">
        <f t="shared" si="5"/>
        <v>1835</v>
      </c>
      <c r="K23" s="32"/>
      <c r="L23" s="32"/>
      <c r="M23" s="32"/>
      <c r="N23" s="32"/>
      <c r="O23" s="32"/>
      <c r="P23" s="32"/>
      <c r="Q23" s="32"/>
      <c r="R23" s="32"/>
      <c r="S23" s="17"/>
      <c r="T23" s="17"/>
      <c r="U23" s="17"/>
      <c r="V23" s="17"/>
      <c r="W23" s="17"/>
      <c r="X23" s="17"/>
      <c r="Y23" s="17"/>
      <c r="Z23" s="17"/>
      <c r="AB23" s="107"/>
      <c r="AD23" s="32"/>
      <c r="AE23" s="109"/>
      <c r="AF23" s="10"/>
      <c r="AG23" s="10"/>
      <c r="AH23" s="110"/>
      <c r="AI23" s="111"/>
      <c r="AJ23" s="109"/>
      <c r="AK23" s="10"/>
    </row>
    <row r="24" spans="2:49" ht="16.5" hidden="1" thickBot="1" x14ac:dyDescent="0.3">
      <c r="B24" s="226">
        <v>40603</v>
      </c>
      <c r="C24" s="31">
        <v>63205</v>
      </c>
      <c r="D24" s="32"/>
      <c r="E24" s="32">
        <v>5358</v>
      </c>
      <c r="F24" s="2">
        <f t="shared" si="4"/>
        <v>68563</v>
      </c>
      <c r="G24" s="31">
        <v>1514</v>
      </c>
      <c r="H24" s="32"/>
      <c r="I24" s="32">
        <v>361</v>
      </c>
      <c r="J24" s="338">
        <f t="shared" si="5"/>
        <v>1875</v>
      </c>
      <c r="K24" s="32"/>
      <c r="L24" s="32"/>
      <c r="M24" s="32"/>
      <c r="N24" s="32"/>
      <c r="O24" s="32"/>
      <c r="P24" s="32"/>
      <c r="Q24" s="32"/>
      <c r="R24" s="32"/>
      <c r="S24" s="17"/>
      <c r="T24" s="17"/>
      <c r="U24" s="17"/>
      <c r="V24" s="17"/>
      <c r="W24" s="17"/>
      <c r="X24" s="17"/>
      <c r="Y24" s="17"/>
      <c r="Z24" s="17"/>
      <c r="AB24" s="107"/>
      <c r="AD24" s="32"/>
      <c r="AE24" s="109"/>
      <c r="AF24" s="10"/>
      <c r="AG24" s="10"/>
      <c r="AH24" s="110"/>
      <c r="AI24" s="111"/>
      <c r="AJ24" s="109"/>
      <c r="AK24" s="10"/>
    </row>
    <row r="25" spans="2:49" ht="16.5" hidden="1" thickBot="1" x14ac:dyDescent="0.3">
      <c r="B25" s="226">
        <v>40634</v>
      </c>
      <c r="C25" s="31">
        <v>61947</v>
      </c>
      <c r="D25" s="32"/>
      <c r="E25" s="32">
        <v>5674</v>
      </c>
      <c r="F25" s="2">
        <f t="shared" si="4"/>
        <v>67621</v>
      </c>
      <c r="G25" s="31">
        <v>1512</v>
      </c>
      <c r="H25" s="32"/>
      <c r="I25" s="32">
        <v>355</v>
      </c>
      <c r="J25" s="338">
        <f t="shared" si="5"/>
        <v>1867</v>
      </c>
      <c r="K25" s="32"/>
      <c r="L25" s="32"/>
      <c r="M25" s="32"/>
      <c r="N25" s="32"/>
      <c r="O25" s="32"/>
      <c r="P25" s="32"/>
      <c r="Q25" s="32"/>
      <c r="R25" s="32"/>
      <c r="S25" s="17"/>
      <c r="T25" s="17"/>
      <c r="U25" s="17"/>
      <c r="V25" s="17"/>
      <c r="W25" s="17"/>
      <c r="X25" s="17"/>
      <c r="Y25" s="17"/>
      <c r="Z25" s="17"/>
      <c r="AB25" s="107"/>
      <c r="AD25" s="32"/>
      <c r="AE25" s="109"/>
      <c r="AF25" s="10"/>
      <c r="AG25" s="10"/>
      <c r="AH25" s="110"/>
      <c r="AI25" s="111"/>
      <c r="AJ25" s="109"/>
      <c r="AK25" s="10"/>
    </row>
    <row r="26" spans="2:49" ht="16.5" hidden="1" thickBot="1" x14ac:dyDescent="0.3">
      <c r="B26" s="226">
        <v>40664</v>
      </c>
      <c r="C26" s="31">
        <v>59210</v>
      </c>
      <c r="D26" s="32"/>
      <c r="E26" s="32">
        <v>5872</v>
      </c>
      <c r="F26" s="2">
        <f t="shared" si="4"/>
        <v>65082</v>
      </c>
      <c r="G26" s="31">
        <v>1498</v>
      </c>
      <c r="H26" s="32"/>
      <c r="I26" s="32">
        <v>342</v>
      </c>
      <c r="J26" s="338">
        <f t="shared" si="5"/>
        <v>1840</v>
      </c>
      <c r="K26" s="32"/>
      <c r="L26" s="32"/>
      <c r="M26" s="32"/>
      <c r="N26" s="32"/>
      <c r="O26" s="32"/>
      <c r="P26" s="32"/>
      <c r="Q26" s="32"/>
      <c r="R26" s="32"/>
      <c r="S26" s="17"/>
      <c r="T26" s="17"/>
      <c r="U26" s="17"/>
      <c r="V26" s="17"/>
      <c r="W26" s="17"/>
      <c r="X26" s="17"/>
      <c r="Y26" s="17"/>
      <c r="Z26" s="17"/>
      <c r="AB26" s="107"/>
      <c r="AD26" s="32"/>
      <c r="AE26" s="109"/>
      <c r="AF26" s="10"/>
      <c r="AG26" s="10"/>
      <c r="AH26" s="110"/>
      <c r="AI26" s="111"/>
      <c r="AJ26" s="109"/>
      <c r="AK26" s="10"/>
    </row>
    <row r="27" spans="2:49" ht="16.5" hidden="1" thickBot="1" x14ac:dyDescent="0.3">
      <c r="B27" s="226">
        <v>40695</v>
      </c>
      <c r="C27" s="31">
        <v>57858</v>
      </c>
      <c r="D27" s="32"/>
      <c r="E27" s="32">
        <v>6098</v>
      </c>
      <c r="F27" s="2">
        <f t="shared" si="4"/>
        <v>63956</v>
      </c>
      <c r="G27" s="31">
        <v>1455</v>
      </c>
      <c r="H27" s="32"/>
      <c r="I27" s="32">
        <v>349</v>
      </c>
      <c r="J27" s="338">
        <f t="shared" si="5"/>
        <v>1804</v>
      </c>
      <c r="K27" s="32"/>
      <c r="L27" s="32"/>
      <c r="M27" s="32"/>
      <c r="N27" s="32"/>
      <c r="O27" s="32"/>
      <c r="P27" s="32"/>
      <c r="Q27" s="32"/>
      <c r="R27" s="32"/>
      <c r="S27" s="17"/>
      <c r="T27" s="17"/>
      <c r="U27" s="17"/>
      <c r="V27" s="17"/>
      <c r="W27" s="17"/>
      <c r="X27" s="17"/>
      <c r="Y27" s="17"/>
      <c r="Z27" s="17"/>
      <c r="AB27" s="107"/>
      <c r="AD27" s="32"/>
      <c r="AE27" s="109"/>
      <c r="AF27" s="10"/>
      <c r="AG27" s="10"/>
      <c r="AH27" s="110"/>
      <c r="AI27" s="111"/>
      <c r="AJ27" s="109"/>
      <c r="AK27" s="10"/>
    </row>
    <row r="28" spans="2:49" ht="16.5" hidden="1" thickBot="1" x14ac:dyDescent="0.3">
      <c r="B28" s="228" t="s">
        <v>103</v>
      </c>
      <c r="C28" s="33">
        <f>ROUND(AVERAGE(C16:C27),0)</f>
        <v>57717</v>
      </c>
      <c r="D28" s="34"/>
      <c r="E28" s="34">
        <f>ROUND(AVERAGE(E16:E27),0)</f>
        <v>4023</v>
      </c>
      <c r="F28" s="24">
        <f t="shared" si="4"/>
        <v>61740</v>
      </c>
      <c r="G28" s="33">
        <f>ROUND(AVERAGE(G16:G27),0)</f>
        <v>1470</v>
      </c>
      <c r="H28" s="34"/>
      <c r="I28" s="34">
        <f>ROUND(AVERAGE(I16:I27),0)</f>
        <v>272</v>
      </c>
      <c r="J28" s="511">
        <f t="shared" si="5"/>
        <v>1742</v>
      </c>
      <c r="K28" s="36"/>
      <c r="L28" s="36"/>
      <c r="M28" s="36"/>
      <c r="N28" s="36"/>
      <c r="O28" s="36"/>
      <c r="P28" s="36"/>
      <c r="Q28" s="36"/>
      <c r="R28" s="36"/>
      <c r="AB28" s="107"/>
      <c r="AH28" s="110"/>
      <c r="AI28" s="113"/>
      <c r="AL28" s="116"/>
      <c r="AM28" s="117" t="s">
        <v>112</v>
      </c>
      <c r="AN28" s="117" t="s">
        <v>108</v>
      </c>
      <c r="AO28" s="117" t="s">
        <v>109</v>
      </c>
      <c r="AP28" s="117" t="s">
        <v>110</v>
      </c>
      <c r="AQ28" s="117" t="s">
        <v>111</v>
      </c>
      <c r="AR28" s="117" t="s">
        <v>113</v>
      </c>
      <c r="AS28" s="118"/>
      <c r="AT28" s="118" t="s">
        <v>39</v>
      </c>
    </row>
    <row r="29" spans="2:49" ht="16.5" hidden="1" thickBot="1" x14ac:dyDescent="0.3">
      <c r="B29" s="226">
        <v>40725</v>
      </c>
      <c r="C29" s="31">
        <v>57349</v>
      </c>
      <c r="D29" s="32"/>
      <c r="E29" s="32">
        <v>6320</v>
      </c>
      <c r="F29" s="2">
        <f t="shared" si="4"/>
        <v>63669</v>
      </c>
      <c r="G29" s="31">
        <v>1511</v>
      </c>
      <c r="H29" s="32"/>
      <c r="I29" s="32">
        <v>357</v>
      </c>
      <c r="J29" s="338">
        <f t="shared" si="5"/>
        <v>1868</v>
      </c>
      <c r="K29" s="32"/>
      <c r="L29" s="32"/>
      <c r="M29" s="32"/>
      <c r="N29" s="32"/>
      <c r="O29" s="32"/>
      <c r="P29" s="32"/>
      <c r="Q29" s="32"/>
      <c r="R29" s="32"/>
      <c r="S29" s="30"/>
      <c r="T29" s="30"/>
      <c r="U29" s="30"/>
      <c r="V29" s="30"/>
      <c r="W29" s="30"/>
      <c r="X29" s="30"/>
      <c r="Y29" s="30"/>
      <c r="Z29" s="30"/>
      <c r="AA29" s="115"/>
      <c r="AB29" s="114"/>
      <c r="AC29" s="115"/>
      <c r="AD29" s="30"/>
      <c r="AE29" s="119"/>
      <c r="AF29" s="120"/>
      <c r="AG29" s="120"/>
      <c r="AH29" s="110"/>
      <c r="AI29" s="111"/>
      <c r="AJ29" s="109"/>
      <c r="AK29" s="120"/>
      <c r="AL29" s="116"/>
      <c r="AM29" s="116">
        <v>27019</v>
      </c>
      <c r="AN29" s="121">
        <v>14927</v>
      </c>
      <c r="AO29" s="121">
        <v>3833</v>
      </c>
      <c r="AP29" s="121"/>
      <c r="AQ29" s="121"/>
      <c r="AR29" s="121"/>
      <c r="AS29" s="121"/>
      <c r="AT29" s="121" t="s">
        <v>114</v>
      </c>
      <c r="AU29" s="116" t="s">
        <v>115</v>
      </c>
      <c r="AV29" s="116"/>
      <c r="AW29" s="116"/>
    </row>
    <row r="30" spans="2:49" ht="16.5" hidden="1" thickBot="1" x14ac:dyDescent="0.3">
      <c r="B30" s="226">
        <v>40756</v>
      </c>
      <c r="C30" s="31">
        <v>57625</v>
      </c>
      <c r="D30" s="32"/>
      <c r="E30" s="32">
        <v>6444</v>
      </c>
      <c r="F30" s="2">
        <f t="shared" ref="F30:F36" si="6">SUM(C30:E30)</f>
        <v>64069</v>
      </c>
      <c r="G30" s="31">
        <v>1567</v>
      </c>
      <c r="H30" s="32"/>
      <c r="I30" s="32">
        <v>355</v>
      </c>
      <c r="J30" s="338">
        <f t="shared" ref="J30:J36" si="7">SUM(G30:I30)</f>
        <v>1922</v>
      </c>
      <c r="K30" s="32"/>
      <c r="L30" s="32"/>
      <c r="M30" s="32"/>
      <c r="N30" s="32"/>
      <c r="O30" s="32"/>
      <c r="P30" s="32"/>
      <c r="Q30" s="32"/>
      <c r="R30" s="32"/>
      <c r="S30" s="17"/>
      <c r="T30" s="17"/>
      <c r="U30" s="17"/>
      <c r="V30" s="17"/>
      <c r="W30" s="17"/>
      <c r="X30" s="17"/>
      <c r="Y30" s="17"/>
      <c r="Z30" s="17"/>
      <c r="AB30" s="107"/>
      <c r="AD30" s="32"/>
      <c r="AE30" s="109"/>
      <c r="AF30" s="10"/>
      <c r="AG30" s="10"/>
      <c r="AH30" s="110"/>
      <c r="AI30" s="111"/>
      <c r="AJ30" s="109"/>
      <c r="AK30" s="10"/>
      <c r="AL30" s="116"/>
      <c r="AM30" s="116">
        <v>25773</v>
      </c>
      <c r="AN30" s="121">
        <v>14585</v>
      </c>
      <c r="AO30" s="121">
        <v>3409</v>
      </c>
      <c r="AP30" s="121">
        <v>3534</v>
      </c>
      <c r="AQ30" s="121">
        <v>5894</v>
      </c>
      <c r="AR30" s="121">
        <v>601</v>
      </c>
      <c r="AS30" s="25">
        <v>40756</v>
      </c>
      <c r="AT30" s="121">
        <f>SUM(AM30:AR30)</f>
        <v>53796</v>
      </c>
      <c r="AU30" s="122">
        <f>F30</f>
        <v>64069</v>
      </c>
      <c r="AV30" s="123">
        <f>+AU30-AT30</f>
        <v>10273</v>
      </c>
      <c r="AW30" s="124">
        <f>+AV30/AU30</f>
        <v>0.16034275546676241</v>
      </c>
    </row>
    <row r="31" spans="2:49" ht="16.5" hidden="1" thickBot="1" x14ac:dyDescent="0.3">
      <c r="B31" s="226">
        <v>40787</v>
      </c>
      <c r="C31" s="31">
        <v>57506</v>
      </c>
      <c r="D31" s="32"/>
      <c r="E31" s="32">
        <v>7275</v>
      </c>
      <c r="F31" s="2">
        <f t="shared" si="6"/>
        <v>64781</v>
      </c>
      <c r="G31" s="31">
        <v>1533</v>
      </c>
      <c r="H31" s="32"/>
      <c r="I31" s="32">
        <v>377</v>
      </c>
      <c r="J31" s="338">
        <f t="shared" si="7"/>
        <v>1910</v>
      </c>
      <c r="K31" s="32"/>
      <c r="L31" s="32"/>
      <c r="M31" s="32"/>
      <c r="N31" s="32"/>
      <c r="O31" s="32"/>
      <c r="P31" s="32"/>
      <c r="Q31" s="32"/>
      <c r="R31" s="32"/>
      <c r="S31" s="17"/>
      <c r="T31" s="17"/>
      <c r="U31" s="17"/>
      <c r="V31" s="17"/>
      <c r="W31" s="17"/>
      <c r="X31" s="17"/>
      <c r="Y31" s="17"/>
      <c r="Z31" s="17"/>
      <c r="AB31" s="107"/>
      <c r="AD31" s="32"/>
      <c r="AE31" s="109"/>
      <c r="AF31" s="10"/>
      <c r="AG31" s="10"/>
      <c r="AH31" s="110"/>
      <c r="AI31" s="111"/>
      <c r="AJ31" s="109"/>
      <c r="AK31" s="10"/>
      <c r="AL31" s="116"/>
      <c r="AM31" s="121">
        <v>29524</v>
      </c>
      <c r="AN31" s="121">
        <v>18619</v>
      </c>
      <c r="AO31" s="121">
        <v>4475</v>
      </c>
      <c r="AP31" s="125">
        <f>+AP30*($AO31/$AO30)</f>
        <v>4639.0877090055737</v>
      </c>
      <c r="AQ31" s="121">
        <v>5619</v>
      </c>
      <c r="AR31" s="125">
        <f>+AR30*($AO31/$AO30)</f>
        <v>788.93370489879726</v>
      </c>
      <c r="AS31" s="25">
        <v>40787</v>
      </c>
      <c r="AT31" s="121">
        <f>SUM(AM31:AR31)</f>
        <v>63665.021413904367</v>
      </c>
      <c r="AU31" s="122">
        <f>F31</f>
        <v>64781</v>
      </c>
      <c r="AV31" s="123">
        <f>+AU31-AT31</f>
        <v>1115.9785860956326</v>
      </c>
      <c r="AW31" s="124">
        <f>+AV31/AU31</f>
        <v>1.7226942870527357E-2</v>
      </c>
    </row>
    <row r="32" spans="2:49" ht="16.5" hidden="1" thickBot="1" x14ac:dyDescent="0.3">
      <c r="B32" s="226">
        <v>40817</v>
      </c>
      <c r="C32" s="31">
        <v>58766</v>
      </c>
      <c r="D32" s="32"/>
      <c r="E32" s="32">
        <v>8075</v>
      </c>
      <c r="F32" s="2">
        <f t="shared" si="6"/>
        <v>66841</v>
      </c>
      <c r="G32" s="31">
        <v>1550</v>
      </c>
      <c r="H32" s="32"/>
      <c r="I32" s="32">
        <v>375</v>
      </c>
      <c r="J32" s="338">
        <f t="shared" si="7"/>
        <v>1925</v>
      </c>
      <c r="K32" s="32"/>
      <c r="L32" s="32"/>
      <c r="M32" s="32"/>
      <c r="N32" s="32"/>
      <c r="O32" s="32"/>
      <c r="P32" s="32"/>
      <c r="Q32" s="32"/>
      <c r="R32" s="32"/>
      <c r="S32" s="17"/>
      <c r="T32" s="17"/>
      <c r="U32" s="17"/>
      <c r="V32" s="17"/>
      <c r="W32" s="17"/>
      <c r="X32" s="17"/>
      <c r="Y32" s="17"/>
      <c r="Z32" s="17"/>
      <c r="AB32" s="107"/>
      <c r="AC32" s="15"/>
      <c r="AD32" s="32"/>
      <c r="AE32" s="109"/>
      <c r="AF32" s="10"/>
      <c r="AG32" s="10"/>
      <c r="AH32" s="110"/>
      <c r="AI32" s="111"/>
      <c r="AJ32" s="109"/>
      <c r="AK32" s="10"/>
      <c r="AM32" s="16">
        <v>30461</v>
      </c>
      <c r="AN32" s="16">
        <v>17976</v>
      </c>
      <c r="AO32" s="16">
        <v>4586</v>
      </c>
      <c r="AP32" s="125">
        <f t="shared" ref="AP32:AR33" si="8">+AP31*($AO32/$AO31)</f>
        <v>4754.1578175418017</v>
      </c>
      <c r="AQ32" s="16">
        <v>6373</v>
      </c>
      <c r="AR32" s="125">
        <f t="shared" si="8"/>
        <v>808.50278674097967</v>
      </c>
      <c r="AS32" s="25">
        <v>40817</v>
      </c>
      <c r="AT32" s="121">
        <f>SUM(AM32:AR32)</f>
        <v>64958.660604282784</v>
      </c>
      <c r="AU32" s="122">
        <f>F32</f>
        <v>66841</v>
      </c>
      <c r="AV32" s="123">
        <f>+AU32-AT32</f>
        <v>1882.3393957172157</v>
      </c>
      <c r="AW32" s="124">
        <f>+AV32/AU32</f>
        <v>2.8161448747284087E-2</v>
      </c>
    </row>
    <row r="33" spans="1:46" ht="16.5" hidden="1" thickBot="1" x14ac:dyDescent="0.3">
      <c r="B33" s="226">
        <v>40848</v>
      </c>
      <c r="C33" s="31">
        <v>59551</v>
      </c>
      <c r="D33" s="32"/>
      <c r="E33" s="32">
        <v>10493</v>
      </c>
      <c r="F33" s="2">
        <f t="shared" si="6"/>
        <v>70044</v>
      </c>
      <c r="G33" s="31">
        <v>1493</v>
      </c>
      <c r="H33" s="32"/>
      <c r="I33" s="32">
        <v>451</v>
      </c>
      <c r="J33" s="338">
        <f t="shared" si="7"/>
        <v>1944</v>
      </c>
      <c r="K33" s="32"/>
      <c r="L33" s="32"/>
      <c r="M33" s="32"/>
      <c r="N33" s="32"/>
      <c r="O33" s="32"/>
      <c r="P33" s="32"/>
      <c r="Q33" s="32"/>
      <c r="R33" s="32"/>
      <c r="S33" s="17"/>
      <c r="T33" s="17"/>
      <c r="U33" s="17"/>
      <c r="V33" s="17"/>
      <c r="W33" s="17"/>
      <c r="X33" s="17"/>
      <c r="Y33" s="17"/>
      <c r="Z33" s="17"/>
      <c r="AB33" s="107"/>
      <c r="AC33" s="15"/>
      <c r="AD33" s="32"/>
      <c r="AE33" s="109"/>
      <c r="AF33" s="10"/>
      <c r="AG33" s="10"/>
      <c r="AH33" s="110"/>
      <c r="AI33" s="111"/>
      <c r="AJ33" s="109"/>
      <c r="AK33" s="10"/>
      <c r="AM33" s="16">
        <v>32362</v>
      </c>
      <c r="AN33" s="16">
        <v>17534</v>
      </c>
      <c r="AO33" s="16">
        <v>4983</v>
      </c>
      <c r="AP33" s="125">
        <f t="shared" si="8"/>
        <v>5165.7148723965975</v>
      </c>
      <c r="AQ33" s="16">
        <v>7098</v>
      </c>
      <c r="AR33" s="125">
        <f t="shared" si="8"/>
        <v>878.49310648283938</v>
      </c>
      <c r="AS33" s="126"/>
      <c r="AT33" s="127">
        <f>SUM(AM33:AR33)</f>
        <v>68021.207978879436</v>
      </c>
    </row>
    <row r="34" spans="1:46" ht="16.5" hidden="1" thickBot="1" x14ac:dyDescent="0.3">
      <c r="B34" s="226">
        <v>40878</v>
      </c>
      <c r="C34" s="31">
        <v>59699</v>
      </c>
      <c r="D34" s="32"/>
      <c r="E34" s="32">
        <v>12338</v>
      </c>
      <c r="F34" s="2">
        <f t="shared" si="6"/>
        <v>72037</v>
      </c>
      <c r="G34" s="31">
        <v>1506</v>
      </c>
      <c r="H34" s="32"/>
      <c r="I34" s="32">
        <v>487</v>
      </c>
      <c r="J34" s="338">
        <f t="shared" si="7"/>
        <v>1993</v>
      </c>
      <c r="K34" s="32"/>
      <c r="L34" s="32"/>
      <c r="M34" s="32"/>
      <c r="N34" s="32"/>
      <c r="O34" s="32"/>
      <c r="P34" s="32"/>
      <c r="Q34" s="32"/>
      <c r="R34" s="32"/>
      <c r="S34" s="17"/>
      <c r="T34" s="17"/>
      <c r="U34" s="17"/>
      <c r="V34" s="17"/>
      <c r="W34" s="17"/>
      <c r="X34" s="17"/>
      <c r="Y34" s="17"/>
      <c r="Z34" s="17"/>
      <c r="AB34" s="107"/>
      <c r="AC34" s="15"/>
      <c r="AD34" s="32"/>
      <c r="AE34" s="109"/>
      <c r="AF34" s="10"/>
      <c r="AG34" s="10"/>
      <c r="AH34" s="110"/>
      <c r="AI34" s="111"/>
      <c r="AJ34" s="109"/>
      <c r="AK34" s="10"/>
    </row>
    <row r="35" spans="1:46" ht="16.5" hidden="1" thickBot="1" x14ac:dyDescent="0.3">
      <c r="B35" s="226">
        <v>40909</v>
      </c>
      <c r="C35" s="31">
        <v>64289</v>
      </c>
      <c r="D35" s="32"/>
      <c r="E35" s="32">
        <v>12985</v>
      </c>
      <c r="F35" s="2">
        <f t="shared" si="6"/>
        <v>77274</v>
      </c>
      <c r="G35" s="31">
        <v>1590</v>
      </c>
      <c r="H35" s="32"/>
      <c r="I35" s="32">
        <v>498</v>
      </c>
      <c r="J35" s="338">
        <f t="shared" si="7"/>
        <v>2088</v>
      </c>
      <c r="K35" s="32"/>
      <c r="L35" s="32"/>
      <c r="M35" s="32"/>
      <c r="N35" s="32"/>
      <c r="O35" s="32"/>
      <c r="P35" s="32"/>
      <c r="Q35" s="32"/>
      <c r="R35" s="32"/>
      <c r="S35" s="17"/>
      <c r="T35" s="17"/>
      <c r="U35" s="17"/>
      <c r="V35" s="17"/>
      <c r="W35" s="17"/>
      <c r="X35" s="17"/>
      <c r="Y35" s="17"/>
      <c r="Z35" s="17"/>
      <c r="AB35" s="107"/>
      <c r="AD35" s="32"/>
      <c r="AE35" s="109"/>
      <c r="AF35" s="10"/>
      <c r="AG35" s="10"/>
      <c r="AH35" s="110"/>
      <c r="AI35" s="111"/>
      <c r="AJ35" s="109"/>
      <c r="AK35" s="17"/>
      <c r="AT35" s="128" t="s">
        <v>116</v>
      </c>
    </row>
    <row r="36" spans="1:46" ht="16.5" hidden="1" thickBot="1" x14ac:dyDescent="0.3">
      <c r="B36" s="512">
        <v>40940</v>
      </c>
      <c r="C36" s="31">
        <v>66199</v>
      </c>
      <c r="D36" s="32"/>
      <c r="E36" s="32">
        <v>13250</v>
      </c>
      <c r="F36" s="2">
        <f t="shared" si="6"/>
        <v>79449</v>
      </c>
      <c r="G36" s="31">
        <v>1722</v>
      </c>
      <c r="H36" s="32"/>
      <c r="I36" s="32">
        <v>494</v>
      </c>
      <c r="J36" s="338">
        <f t="shared" si="7"/>
        <v>2216</v>
      </c>
      <c r="K36" s="32"/>
      <c r="L36" s="32"/>
      <c r="M36" s="32"/>
      <c r="N36" s="32"/>
      <c r="O36" s="32"/>
      <c r="P36" s="32"/>
      <c r="Q36" s="32"/>
      <c r="R36" s="32"/>
      <c r="S36" s="17"/>
      <c r="T36" s="17"/>
      <c r="U36" s="17"/>
      <c r="V36" s="17"/>
      <c r="W36" s="17"/>
      <c r="X36" s="17"/>
      <c r="Y36" s="17"/>
      <c r="Z36" s="17"/>
      <c r="AB36" s="107"/>
      <c r="AD36" s="32"/>
      <c r="AE36" s="109"/>
      <c r="AF36" s="10"/>
      <c r="AG36" s="10"/>
      <c r="AH36" s="110"/>
      <c r="AI36" s="111"/>
      <c r="AJ36" s="109"/>
      <c r="AK36" s="17"/>
    </row>
    <row r="37" spans="1:46" ht="16.5" hidden="1" thickBot="1" x14ac:dyDescent="0.3">
      <c r="B37" s="226">
        <v>40969</v>
      </c>
      <c r="C37" s="31">
        <v>68051</v>
      </c>
      <c r="D37" s="32"/>
      <c r="E37" s="32">
        <v>13774</v>
      </c>
      <c r="F37" s="2">
        <f>SUM(C37:E37)</f>
        <v>81825</v>
      </c>
      <c r="G37" s="31">
        <v>1738</v>
      </c>
      <c r="H37" s="32"/>
      <c r="I37" s="32">
        <v>525</v>
      </c>
      <c r="J37" s="338">
        <f>SUM(G37:I37)</f>
        <v>2263</v>
      </c>
      <c r="K37" s="32"/>
      <c r="L37" s="32"/>
      <c r="M37" s="32"/>
      <c r="N37" s="32"/>
      <c r="O37" s="32"/>
      <c r="P37" s="32"/>
      <c r="Q37" s="32"/>
      <c r="R37" s="32"/>
      <c r="S37" s="17"/>
      <c r="T37" s="17"/>
      <c r="U37" s="17"/>
      <c r="V37" s="17"/>
      <c r="W37" s="17"/>
      <c r="X37" s="17"/>
      <c r="Y37" s="17"/>
      <c r="Z37" s="17"/>
      <c r="AB37" s="107"/>
      <c r="AD37" s="32"/>
      <c r="AE37" s="109"/>
      <c r="AF37" s="10"/>
      <c r="AG37" s="10"/>
      <c r="AH37" s="110"/>
      <c r="AI37" s="111"/>
      <c r="AJ37" s="109"/>
      <c r="AK37" s="17"/>
    </row>
    <row r="38" spans="1:46" ht="16.5" hidden="1" thickBot="1" x14ac:dyDescent="0.3">
      <c r="B38" s="226">
        <v>41000</v>
      </c>
      <c r="C38" s="31">
        <v>70560</v>
      </c>
      <c r="D38" s="32"/>
      <c r="E38" s="32">
        <v>13492</v>
      </c>
      <c r="F38" s="2">
        <f>SUM(C38:E38)</f>
        <v>84052</v>
      </c>
      <c r="G38" s="31">
        <v>1736</v>
      </c>
      <c r="H38" s="32"/>
      <c r="I38" s="32">
        <v>494</v>
      </c>
      <c r="J38" s="338">
        <f>SUM(G38:I38)</f>
        <v>2230</v>
      </c>
      <c r="K38" s="32"/>
      <c r="L38" s="32"/>
      <c r="M38" s="32"/>
      <c r="N38" s="32"/>
      <c r="O38" s="32"/>
      <c r="P38" s="32"/>
      <c r="Q38" s="32"/>
      <c r="R38" s="32"/>
      <c r="S38" s="17"/>
      <c r="T38" s="17"/>
      <c r="U38" s="17"/>
      <c r="V38" s="17"/>
      <c r="W38" s="17"/>
      <c r="X38" s="17"/>
      <c r="Y38" s="17"/>
      <c r="Z38" s="17"/>
      <c r="AB38" s="107"/>
      <c r="AD38" s="32"/>
      <c r="AE38" s="109"/>
      <c r="AF38" s="10"/>
      <c r="AG38" s="10"/>
      <c r="AH38" s="110"/>
      <c r="AI38" s="111"/>
      <c r="AJ38" s="109"/>
      <c r="AK38" s="17"/>
    </row>
    <row r="39" spans="1:46" ht="16.5" hidden="1" thickBot="1" x14ac:dyDescent="0.3">
      <c r="B39" s="226">
        <v>41030</v>
      </c>
      <c r="C39" s="31">
        <v>70121</v>
      </c>
      <c r="D39" s="32"/>
      <c r="E39" s="32">
        <v>14169</v>
      </c>
      <c r="F39" s="2">
        <f>SUM(C39:E39)</f>
        <v>84290</v>
      </c>
      <c r="G39" s="31">
        <v>1737</v>
      </c>
      <c r="H39" s="32"/>
      <c r="I39" s="32">
        <v>494</v>
      </c>
      <c r="J39" s="338">
        <f>SUM(G39:I39)</f>
        <v>2231</v>
      </c>
      <c r="K39" s="32"/>
      <c r="L39" s="32"/>
      <c r="M39" s="32"/>
      <c r="N39" s="32"/>
      <c r="O39" s="32"/>
      <c r="P39" s="32"/>
      <c r="Q39" s="32"/>
      <c r="R39" s="32"/>
      <c r="S39" s="17"/>
      <c r="T39" s="17"/>
      <c r="U39" s="17"/>
      <c r="V39" s="17"/>
      <c r="W39" s="17"/>
      <c r="X39" s="17"/>
      <c r="Y39" s="17"/>
      <c r="Z39" s="17"/>
      <c r="AB39" s="107"/>
      <c r="AD39" s="32"/>
      <c r="AE39" s="109"/>
      <c r="AF39" s="10"/>
      <c r="AG39" s="10"/>
      <c r="AH39" s="110"/>
      <c r="AI39" s="111"/>
      <c r="AJ39" s="109"/>
      <c r="AK39" s="17"/>
    </row>
    <row r="40" spans="1:46" ht="16.5" hidden="1" thickBot="1" x14ac:dyDescent="0.3">
      <c r="B40" s="226">
        <v>41061</v>
      </c>
      <c r="C40" s="31">
        <v>68881</v>
      </c>
      <c r="D40" s="32"/>
      <c r="E40" s="32">
        <v>13975</v>
      </c>
      <c r="F40" s="2">
        <f>SUM(C40:E40)</f>
        <v>82856</v>
      </c>
      <c r="G40" s="31">
        <v>1713</v>
      </c>
      <c r="H40" s="32"/>
      <c r="I40" s="32">
        <v>466</v>
      </c>
      <c r="J40" s="338">
        <f>SUM(G40:I40)</f>
        <v>2179</v>
      </c>
      <c r="K40" s="32"/>
      <c r="L40" s="32"/>
      <c r="M40" s="32"/>
      <c r="N40" s="32"/>
      <c r="O40" s="32"/>
      <c r="P40" s="32"/>
      <c r="Q40" s="32"/>
      <c r="R40" s="32"/>
      <c r="S40" s="17"/>
      <c r="T40" s="17"/>
      <c r="U40" s="17"/>
      <c r="V40" s="17"/>
      <c r="W40" s="17"/>
      <c r="X40" s="17"/>
      <c r="Y40" s="17"/>
      <c r="Z40" s="17"/>
      <c r="AB40" s="107"/>
      <c r="AD40" s="32"/>
      <c r="AE40" s="109"/>
      <c r="AF40" s="10"/>
      <c r="AG40" s="10"/>
      <c r="AH40" s="110"/>
      <c r="AI40" s="111"/>
      <c r="AJ40" s="109"/>
      <c r="AK40" s="17"/>
    </row>
    <row r="41" spans="1:46" ht="16.5" hidden="1" thickBot="1" x14ac:dyDescent="0.3">
      <c r="B41" s="230" t="s">
        <v>117</v>
      </c>
      <c r="C41" s="57">
        <f>ROUND(AVERAGE(C29:C40),0)</f>
        <v>63216</v>
      </c>
      <c r="D41" s="58"/>
      <c r="E41" s="58">
        <f t="shared" ref="E41:J41" si="9">ROUND(AVERAGE(E29:E40),0)</f>
        <v>11049</v>
      </c>
      <c r="F41" s="58">
        <f t="shared" si="9"/>
        <v>74266</v>
      </c>
      <c r="G41" s="46">
        <f t="shared" si="9"/>
        <v>1616</v>
      </c>
      <c r="H41" s="47"/>
      <c r="I41" s="47">
        <f t="shared" si="9"/>
        <v>448</v>
      </c>
      <c r="J41" s="513">
        <f t="shared" si="9"/>
        <v>2064</v>
      </c>
      <c r="K41" s="32"/>
      <c r="L41" s="32"/>
      <c r="M41" s="32"/>
      <c r="N41" s="32"/>
      <c r="O41" s="36"/>
      <c r="P41" s="36"/>
      <c r="Q41" s="36"/>
      <c r="R41" s="36"/>
      <c r="AB41" s="107"/>
      <c r="AD41" s="32"/>
      <c r="AE41" s="109"/>
      <c r="AF41" s="10"/>
      <c r="AG41" s="10"/>
      <c r="AH41" s="110"/>
      <c r="AI41" s="113"/>
      <c r="AJ41" s="10"/>
      <c r="AK41" s="10"/>
    </row>
    <row r="42" spans="1:46" ht="16.5" hidden="1" thickBot="1" x14ac:dyDescent="0.3">
      <c r="A42" s="365">
        <f>IF(C42="",0,1)</f>
        <v>1</v>
      </c>
      <c r="B42" s="226">
        <v>41091</v>
      </c>
      <c r="C42" s="54">
        <v>69977</v>
      </c>
      <c r="D42" s="55"/>
      <c r="E42" s="55">
        <v>13731</v>
      </c>
      <c r="F42" s="56">
        <f t="shared" ref="F42:F47" si="10">SUM(C42:E42)</f>
        <v>83708</v>
      </c>
      <c r="G42" s="54">
        <v>1694</v>
      </c>
      <c r="H42" s="55"/>
      <c r="I42" s="55">
        <v>452</v>
      </c>
      <c r="J42" s="514">
        <f t="shared" ref="J42:J47" si="11">SUM(G42:I42)</f>
        <v>2146</v>
      </c>
      <c r="K42" s="32"/>
      <c r="L42" s="32"/>
      <c r="M42" s="32"/>
      <c r="N42" s="32"/>
      <c r="O42" s="32"/>
      <c r="P42" s="32"/>
      <c r="Q42" s="32"/>
      <c r="R42" s="32"/>
      <c r="S42" s="17"/>
      <c r="T42" s="17"/>
      <c r="U42" s="17"/>
      <c r="V42" s="17"/>
      <c r="W42" s="17"/>
      <c r="X42" s="17"/>
      <c r="Y42" s="17"/>
      <c r="Z42" s="17"/>
      <c r="AB42" s="107"/>
      <c r="AD42" s="32"/>
      <c r="AE42" s="109"/>
      <c r="AF42" s="10"/>
      <c r="AG42" s="10"/>
      <c r="AH42" s="110"/>
      <c r="AI42" s="111"/>
      <c r="AJ42" s="109"/>
      <c r="AK42" s="17"/>
      <c r="AL42" s="110"/>
    </row>
    <row r="43" spans="1:46" ht="16.5" hidden="1" thickBot="1" x14ac:dyDescent="0.3">
      <c r="A43" s="365">
        <f t="shared" ref="A43:A119" si="12">IF(C43="",0,1)</f>
        <v>1</v>
      </c>
      <c r="B43" s="226">
        <v>41122</v>
      </c>
      <c r="C43" s="37">
        <v>68938</v>
      </c>
      <c r="D43" s="26"/>
      <c r="E43" s="26">
        <v>14509</v>
      </c>
      <c r="F43" s="42">
        <f t="shared" si="10"/>
        <v>83447</v>
      </c>
      <c r="G43" s="37">
        <v>1663</v>
      </c>
      <c r="H43" s="26"/>
      <c r="I43" s="26">
        <v>459</v>
      </c>
      <c r="J43" s="515">
        <f t="shared" si="11"/>
        <v>2122</v>
      </c>
      <c r="K43" s="32"/>
      <c r="L43" s="32"/>
      <c r="M43" s="32"/>
      <c r="N43" s="32"/>
      <c r="O43" s="32"/>
      <c r="P43" s="32"/>
      <c r="Q43" s="32"/>
      <c r="R43" s="32"/>
      <c r="S43" s="17"/>
      <c r="T43" s="17"/>
      <c r="U43" s="17"/>
      <c r="V43" s="17"/>
      <c r="W43" s="17"/>
      <c r="X43" s="17"/>
      <c r="Y43" s="17"/>
      <c r="Z43" s="17"/>
      <c r="AB43" s="107"/>
      <c r="AD43" s="32"/>
      <c r="AE43" s="109"/>
      <c r="AF43" s="10"/>
      <c r="AG43" s="10"/>
      <c r="AH43" s="10"/>
      <c r="AI43" s="111"/>
      <c r="AJ43" s="109"/>
      <c r="AK43" s="17"/>
      <c r="AL43" s="10"/>
    </row>
    <row r="44" spans="1:46" ht="16.5" hidden="1" thickBot="1" x14ac:dyDescent="0.3">
      <c r="A44" s="365">
        <f t="shared" si="12"/>
        <v>1</v>
      </c>
      <c r="B44" s="226">
        <v>41153</v>
      </c>
      <c r="C44" s="37">
        <v>67196</v>
      </c>
      <c r="D44" s="26"/>
      <c r="E44" s="26">
        <v>15267</v>
      </c>
      <c r="F44" s="42">
        <f t="shared" si="10"/>
        <v>82463</v>
      </c>
      <c r="G44" s="37">
        <v>1575</v>
      </c>
      <c r="H44" s="26"/>
      <c r="I44" s="26">
        <v>482</v>
      </c>
      <c r="J44" s="515">
        <f t="shared" si="11"/>
        <v>2057</v>
      </c>
      <c r="K44" s="32"/>
      <c r="L44" s="32"/>
      <c r="M44" s="32"/>
      <c r="N44" s="32"/>
      <c r="O44" s="32"/>
      <c r="P44" s="32"/>
      <c r="Q44" s="32"/>
      <c r="R44" s="32"/>
      <c r="S44" s="17"/>
      <c r="T44" s="17"/>
      <c r="U44" s="17"/>
      <c r="V44" s="17"/>
      <c r="W44" s="17"/>
      <c r="X44" s="17"/>
      <c r="Y44" s="17"/>
      <c r="Z44" s="17"/>
      <c r="AB44" s="107"/>
      <c r="AD44" s="32"/>
      <c r="AE44" s="109"/>
      <c r="AF44" s="10"/>
      <c r="AG44" s="10"/>
      <c r="AI44" s="111"/>
      <c r="AJ44" s="109"/>
      <c r="AK44" s="17"/>
    </row>
    <row r="45" spans="1:46" ht="16.5" hidden="1" thickBot="1" x14ac:dyDescent="0.3">
      <c r="A45" s="365">
        <f t="shared" si="12"/>
        <v>1</v>
      </c>
      <c r="B45" s="226">
        <v>41183</v>
      </c>
      <c r="C45" s="37">
        <v>68080</v>
      </c>
      <c r="D45" s="26"/>
      <c r="E45" s="26">
        <v>14955</v>
      </c>
      <c r="F45" s="42">
        <f t="shared" si="10"/>
        <v>83035</v>
      </c>
      <c r="G45" s="37">
        <v>1552</v>
      </c>
      <c r="H45" s="26"/>
      <c r="I45" s="26">
        <v>470</v>
      </c>
      <c r="J45" s="515">
        <f t="shared" si="11"/>
        <v>2022</v>
      </c>
      <c r="K45" s="32"/>
      <c r="L45" s="32"/>
      <c r="M45" s="32"/>
      <c r="N45" s="32"/>
      <c r="O45" s="32"/>
      <c r="P45" s="32"/>
      <c r="Q45" s="32"/>
      <c r="R45" s="32"/>
      <c r="S45" s="17"/>
      <c r="T45" s="17"/>
      <c r="U45" s="17"/>
      <c r="V45" s="17"/>
      <c r="W45" s="17"/>
      <c r="X45" s="17"/>
      <c r="Y45" s="17"/>
      <c r="Z45" s="17"/>
      <c r="AB45" s="107"/>
      <c r="AD45" s="32"/>
      <c r="AE45" s="109"/>
      <c r="AF45" s="10"/>
      <c r="AG45" s="10"/>
      <c r="AH45" s="10"/>
      <c r="AI45" s="111"/>
      <c r="AJ45" s="109"/>
      <c r="AK45" s="17"/>
    </row>
    <row r="46" spans="1:46" ht="16.5" hidden="1" thickBot="1" x14ac:dyDescent="0.3">
      <c r="A46" s="365">
        <f t="shared" si="12"/>
        <v>1</v>
      </c>
      <c r="B46" s="226">
        <v>41214</v>
      </c>
      <c r="C46" s="37">
        <v>69082</v>
      </c>
      <c r="D46" s="26"/>
      <c r="E46" s="26">
        <v>15289</v>
      </c>
      <c r="F46" s="42">
        <f t="shared" si="10"/>
        <v>84371</v>
      </c>
      <c r="G46" s="37">
        <v>1593</v>
      </c>
      <c r="H46" s="26"/>
      <c r="I46" s="26">
        <v>498</v>
      </c>
      <c r="J46" s="515">
        <f t="shared" si="11"/>
        <v>2091</v>
      </c>
      <c r="K46" s="32"/>
      <c r="L46" s="32"/>
      <c r="M46" s="32"/>
      <c r="N46" s="32"/>
      <c r="O46" s="32"/>
      <c r="P46" s="32"/>
      <c r="Q46" s="32"/>
      <c r="R46" s="32"/>
      <c r="S46" s="17"/>
      <c r="T46" s="17"/>
      <c r="U46" s="17"/>
      <c r="V46" s="17"/>
      <c r="W46" s="17"/>
      <c r="X46" s="17"/>
      <c r="Y46" s="17"/>
      <c r="Z46" s="17"/>
      <c r="AB46" s="107"/>
      <c r="AD46" s="32"/>
      <c r="AE46" s="109"/>
      <c r="AF46" s="10"/>
      <c r="AG46" s="10"/>
      <c r="AH46" s="10"/>
      <c r="AI46" s="111"/>
      <c r="AJ46" s="109"/>
      <c r="AK46" s="17"/>
    </row>
    <row r="47" spans="1:46" ht="16.5" hidden="1" thickBot="1" x14ac:dyDescent="0.3">
      <c r="A47" s="365">
        <f t="shared" si="12"/>
        <v>1</v>
      </c>
      <c r="B47" s="226">
        <v>41244</v>
      </c>
      <c r="C47" s="37">
        <v>68453</v>
      </c>
      <c r="D47" s="26"/>
      <c r="E47" s="26">
        <v>16575</v>
      </c>
      <c r="F47" s="42">
        <f t="shared" si="10"/>
        <v>85028</v>
      </c>
      <c r="G47" s="37">
        <v>1589</v>
      </c>
      <c r="H47" s="26"/>
      <c r="I47" s="26">
        <v>550</v>
      </c>
      <c r="J47" s="515">
        <f t="shared" si="11"/>
        <v>2139</v>
      </c>
      <c r="K47" s="32"/>
      <c r="L47" s="32"/>
      <c r="M47" s="32"/>
      <c r="N47" s="32"/>
      <c r="O47" s="32"/>
      <c r="P47" s="32"/>
      <c r="Q47" s="32"/>
      <c r="R47" s="32"/>
      <c r="S47" s="17"/>
      <c r="T47" s="17"/>
      <c r="U47" s="17"/>
      <c r="V47" s="17"/>
      <c r="W47" s="17"/>
      <c r="X47" s="17"/>
      <c r="Y47" s="17"/>
      <c r="Z47" s="17"/>
      <c r="AB47" s="107"/>
      <c r="AD47" s="32"/>
      <c r="AE47" s="109"/>
      <c r="AF47" s="10"/>
      <c r="AG47" s="10"/>
      <c r="AI47" s="111"/>
      <c r="AJ47" s="109"/>
      <c r="AK47" s="17"/>
    </row>
    <row r="48" spans="1:46" ht="16.5" hidden="1" thickBot="1" x14ac:dyDescent="0.3">
      <c r="A48" s="365">
        <f t="shared" si="12"/>
        <v>1</v>
      </c>
      <c r="B48" s="226">
        <v>41275</v>
      </c>
      <c r="C48" s="37">
        <v>65022</v>
      </c>
      <c r="D48" s="26"/>
      <c r="E48" s="26">
        <v>16159</v>
      </c>
      <c r="F48" s="42">
        <f t="shared" ref="F48:F53" si="13">SUM(C48:E48)</f>
        <v>81181</v>
      </c>
      <c r="G48" s="37">
        <v>662</v>
      </c>
      <c r="H48" s="26"/>
      <c r="I48" s="26">
        <v>504</v>
      </c>
      <c r="J48" s="515">
        <f t="shared" ref="J48:J53" si="14">SUM(G48:I48)</f>
        <v>1166</v>
      </c>
      <c r="K48" s="32"/>
      <c r="L48" s="32"/>
      <c r="M48" s="32"/>
      <c r="N48" s="32"/>
      <c r="O48" s="32"/>
      <c r="P48" s="32"/>
      <c r="Q48" s="32"/>
      <c r="R48" s="32"/>
      <c r="S48" s="17"/>
      <c r="T48" s="17"/>
      <c r="U48" s="17"/>
      <c r="V48" s="17"/>
      <c r="W48" s="17"/>
      <c r="X48" s="17"/>
      <c r="Y48" s="17"/>
      <c r="Z48" s="17"/>
      <c r="AB48" s="107"/>
      <c r="AD48" s="32"/>
      <c r="AE48" s="109"/>
      <c r="AF48" s="10"/>
      <c r="AG48" s="10"/>
      <c r="AI48" s="111"/>
      <c r="AJ48" s="109"/>
      <c r="AK48" s="17"/>
      <c r="AM48" s="16" t="s">
        <v>119</v>
      </c>
    </row>
    <row r="49" spans="1:37" ht="16.5" hidden="1" thickBot="1" x14ac:dyDescent="0.3">
      <c r="A49" s="365">
        <f t="shared" si="12"/>
        <v>1</v>
      </c>
      <c r="B49" s="226">
        <v>41306</v>
      </c>
      <c r="C49" s="37">
        <v>59761</v>
      </c>
      <c r="D49" s="26"/>
      <c r="E49" s="26">
        <v>16028</v>
      </c>
      <c r="F49" s="42">
        <f t="shared" si="13"/>
        <v>75789</v>
      </c>
      <c r="G49" s="37">
        <v>585</v>
      </c>
      <c r="H49" s="26"/>
      <c r="I49" s="26">
        <v>451</v>
      </c>
      <c r="J49" s="515">
        <f t="shared" si="14"/>
        <v>1036</v>
      </c>
      <c r="K49" s="32"/>
      <c r="L49" s="32"/>
      <c r="M49" s="32"/>
      <c r="N49" s="32"/>
      <c r="O49" s="32"/>
      <c r="P49" s="32"/>
      <c r="Q49" s="32"/>
      <c r="R49" s="32"/>
      <c r="S49" s="17"/>
      <c r="T49" s="17"/>
      <c r="U49" s="17"/>
      <c r="V49" s="17"/>
      <c r="W49" s="17"/>
      <c r="X49" s="17"/>
      <c r="Y49" s="17"/>
      <c r="Z49" s="17"/>
      <c r="AB49" s="107"/>
      <c r="AD49" s="32"/>
      <c r="AE49" s="109"/>
      <c r="AF49" s="10"/>
      <c r="AG49" s="10"/>
      <c r="AK49" s="10"/>
    </row>
    <row r="50" spans="1:37" ht="16.5" hidden="1" thickBot="1" x14ac:dyDescent="0.3">
      <c r="A50" s="365">
        <f t="shared" si="12"/>
        <v>1</v>
      </c>
      <c r="B50" s="226">
        <v>41334</v>
      </c>
      <c r="C50" s="37">
        <v>55167</v>
      </c>
      <c r="D50" s="26"/>
      <c r="E50" s="26">
        <v>16337</v>
      </c>
      <c r="F50" s="42">
        <f t="shared" si="13"/>
        <v>71504</v>
      </c>
      <c r="G50" s="37">
        <v>636</v>
      </c>
      <c r="H50" s="26"/>
      <c r="I50" s="26">
        <v>442</v>
      </c>
      <c r="J50" s="515">
        <f t="shared" si="14"/>
        <v>1078</v>
      </c>
      <c r="K50" s="32"/>
      <c r="L50" s="32"/>
      <c r="M50" s="32"/>
      <c r="N50" s="32"/>
      <c r="O50" s="32"/>
      <c r="P50" s="32"/>
      <c r="Q50" s="32"/>
      <c r="R50" s="32"/>
      <c r="S50" s="17"/>
      <c r="T50" s="17"/>
      <c r="U50" s="17"/>
      <c r="V50" s="17"/>
      <c r="W50" s="17"/>
      <c r="X50" s="17"/>
      <c r="Y50" s="17"/>
      <c r="Z50" s="17"/>
      <c r="AB50" s="107"/>
      <c r="AD50" s="32"/>
      <c r="AE50" s="109"/>
      <c r="AF50" s="10"/>
      <c r="AG50" s="10"/>
      <c r="AK50" s="10"/>
    </row>
    <row r="51" spans="1:37" ht="16.5" hidden="1" thickBot="1" x14ac:dyDescent="0.3">
      <c r="A51" s="365">
        <f t="shared" si="12"/>
        <v>1</v>
      </c>
      <c r="B51" s="226">
        <v>41365</v>
      </c>
      <c r="C51" s="37">
        <v>55115</v>
      </c>
      <c r="D51" s="26"/>
      <c r="E51" s="26">
        <v>16091</v>
      </c>
      <c r="F51" s="42">
        <f t="shared" si="13"/>
        <v>71206</v>
      </c>
      <c r="G51" s="37">
        <v>709</v>
      </c>
      <c r="H51" s="26"/>
      <c r="I51" s="26">
        <v>435</v>
      </c>
      <c r="J51" s="515">
        <f t="shared" si="14"/>
        <v>1144</v>
      </c>
      <c r="K51" s="32"/>
      <c r="L51" s="32"/>
      <c r="M51" s="32"/>
      <c r="N51" s="32"/>
      <c r="O51" s="32"/>
      <c r="P51" s="32"/>
      <c r="Q51" s="32"/>
      <c r="R51" s="32"/>
      <c r="S51" s="17"/>
      <c r="T51" s="17"/>
      <c r="U51" s="17"/>
      <c r="V51" s="17"/>
      <c r="W51" s="17"/>
      <c r="X51" s="17"/>
      <c r="Y51" s="17"/>
      <c r="Z51" s="17"/>
      <c r="AB51" s="107"/>
      <c r="AD51" s="32"/>
      <c r="AE51" s="109"/>
      <c r="AF51" s="10"/>
      <c r="AG51" s="10"/>
      <c r="AJ51" s="15"/>
      <c r="AK51" s="10"/>
    </row>
    <row r="52" spans="1:37" ht="16.5" hidden="1" thickBot="1" x14ac:dyDescent="0.3">
      <c r="A52" s="365">
        <f t="shared" si="12"/>
        <v>1</v>
      </c>
      <c r="B52" s="226">
        <v>41395</v>
      </c>
      <c r="C52" s="37">
        <v>51438</v>
      </c>
      <c r="D52" s="26"/>
      <c r="E52" s="26">
        <v>15914</v>
      </c>
      <c r="F52" s="42">
        <f t="shared" si="13"/>
        <v>67352</v>
      </c>
      <c r="G52" s="37">
        <v>737</v>
      </c>
      <c r="H52" s="26"/>
      <c r="I52" s="26">
        <v>417</v>
      </c>
      <c r="J52" s="515">
        <f t="shared" si="14"/>
        <v>1154</v>
      </c>
      <c r="K52" s="32"/>
      <c r="L52" s="32"/>
      <c r="M52" s="32"/>
      <c r="N52" s="32"/>
      <c r="O52" s="32"/>
      <c r="P52" s="32"/>
      <c r="Q52" s="32"/>
      <c r="R52" s="32"/>
      <c r="S52" s="17"/>
      <c r="T52" s="17"/>
      <c r="U52" s="17"/>
      <c r="V52" s="17"/>
      <c r="W52" s="17"/>
      <c r="X52" s="17"/>
      <c r="Y52" s="17"/>
      <c r="Z52" s="17"/>
      <c r="AB52" s="107"/>
      <c r="AD52" s="32"/>
      <c r="AE52" s="109"/>
      <c r="AF52" s="10"/>
      <c r="AG52" s="10"/>
      <c r="AJ52" s="15"/>
      <c r="AK52" s="10"/>
    </row>
    <row r="53" spans="1:37" ht="16.5" hidden="1" thickBot="1" x14ac:dyDescent="0.3">
      <c r="A53" s="365">
        <f t="shared" si="12"/>
        <v>1</v>
      </c>
      <c r="B53" s="226">
        <v>41426</v>
      </c>
      <c r="C53" s="37">
        <v>48895</v>
      </c>
      <c r="D53" s="26"/>
      <c r="E53" s="26">
        <v>16047</v>
      </c>
      <c r="F53" s="42">
        <f t="shared" si="13"/>
        <v>64942</v>
      </c>
      <c r="G53" s="37">
        <v>778</v>
      </c>
      <c r="H53" s="26"/>
      <c r="I53" s="26">
        <v>399</v>
      </c>
      <c r="J53" s="515">
        <f t="shared" si="14"/>
        <v>1177</v>
      </c>
      <c r="K53" s="32"/>
      <c r="L53" s="32"/>
      <c r="M53" s="32"/>
      <c r="N53" s="32"/>
      <c r="O53" s="32"/>
      <c r="P53" s="32"/>
      <c r="Q53" s="32"/>
      <c r="R53" s="32"/>
      <c r="S53" s="17"/>
      <c r="T53" s="17"/>
      <c r="U53" s="17"/>
      <c r="V53" s="17"/>
      <c r="W53" s="17"/>
      <c r="X53" s="17"/>
      <c r="Y53" s="17"/>
      <c r="Z53" s="17"/>
      <c r="AB53" s="107"/>
      <c r="AD53" s="32"/>
      <c r="AE53" s="109"/>
      <c r="AF53" s="10"/>
      <c r="AG53" s="10"/>
      <c r="AJ53" s="15"/>
      <c r="AK53" s="10"/>
    </row>
    <row r="54" spans="1:37" ht="16.5" hidden="1" thickBot="1" x14ac:dyDescent="0.3">
      <c r="A54" s="365">
        <f t="shared" si="12"/>
        <v>1</v>
      </c>
      <c r="B54" s="230" t="s">
        <v>122</v>
      </c>
      <c r="C54" s="46">
        <f>ROUND(AVERAGE(C42:C53),0)</f>
        <v>62260</v>
      </c>
      <c r="D54" s="47"/>
      <c r="E54" s="47">
        <f t="shared" ref="E54:I54" si="15">ROUND(AVERAGE(E42:E53),0)</f>
        <v>15575</v>
      </c>
      <c r="F54" s="47">
        <f>ROUND(AVERAGE(F42:F53),0)</f>
        <v>77836</v>
      </c>
      <c r="G54" s="46">
        <f t="shared" si="15"/>
        <v>1148</v>
      </c>
      <c r="H54" s="47"/>
      <c r="I54" s="47">
        <f t="shared" si="15"/>
        <v>463</v>
      </c>
      <c r="J54" s="513">
        <f>ROUND(AVERAGE(J42:J53),0)</f>
        <v>1611</v>
      </c>
      <c r="K54" s="32"/>
      <c r="L54" s="32"/>
      <c r="M54" s="32"/>
      <c r="N54" s="36"/>
      <c r="O54" s="36"/>
      <c r="P54" s="36"/>
      <c r="Q54" s="36"/>
      <c r="R54" s="36"/>
      <c r="AB54" s="107"/>
      <c r="AD54" s="32"/>
      <c r="AE54" s="109"/>
      <c r="AF54" s="10"/>
      <c r="AG54" s="10"/>
      <c r="AJ54" s="15"/>
      <c r="AK54" s="10"/>
    </row>
    <row r="55" spans="1:37" ht="16.5" hidden="1" thickBot="1" x14ac:dyDescent="0.3">
      <c r="A55" s="365">
        <f t="shared" si="12"/>
        <v>1</v>
      </c>
      <c r="B55" s="226">
        <v>41456</v>
      </c>
      <c r="C55" s="37">
        <v>52548</v>
      </c>
      <c r="D55" s="26"/>
      <c r="E55" s="26">
        <v>15933</v>
      </c>
      <c r="F55" s="42">
        <f t="shared" ref="F55:F66" si="16">SUM(C55:E55)</f>
        <v>68481</v>
      </c>
      <c r="G55" s="37">
        <v>850</v>
      </c>
      <c r="H55" s="26"/>
      <c r="I55" s="26">
        <v>354</v>
      </c>
      <c r="J55" s="515">
        <f>SUM(G55:I55)</f>
        <v>1204</v>
      </c>
      <c r="K55" s="32"/>
      <c r="L55" s="32"/>
      <c r="M55" s="32"/>
      <c r="N55" s="32"/>
      <c r="O55" s="32"/>
      <c r="P55" s="32"/>
      <c r="Q55" s="32"/>
      <c r="R55" s="32"/>
      <c r="S55" s="17"/>
      <c r="T55" s="17"/>
      <c r="U55" s="17"/>
      <c r="V55" s="17"/>
      <c r="W55" s="17"/>
      <c r="X55" s="17"/>
      <c r="Y55" s="17"/>
      <c r="Z55" s="17"/>
      <c r="AB55" s="107"/>
      <c r="AD55" s="32"/>
      <c r="AE55" s="109"/>
      <c r="AF55" s="10"/>
      <c r="AG55" s="10"/>
      <c r="AJ55" s="15"/>
      <c r="AK55" s="10"/>
    </row>
    <row r="56" spans="1:37" ht="16.5" hidden="1" thickBot="1" x14ac:dyDescent="0.3">
      <c r="A56" s="365">
        <f t="shared" si="12"/>
        <v>1</v>
      </c>
      <c r="B56" s="226">
        <v>41487</v>
      </c>
      <c r="C56" s="37">
        <v>50183</v>
      </c>
      <c r="D56" s="26"/>
      <c r="E56" s="26">
        <v>17642</v>
      </c>
      <c r="F56" s="42">
        <f t="shared" si="16"/>
        <v>67825</v>
      </c>
      <c r="G56" s="37">
        <v>869</v>
      </c>
      <c r="H56" s="26"/>
      <c r="I56" s="26">
        <v>393</v>
      </c>
      <c r="J56" s="515">
        <f>SUM(G56:I56)</f>
        <v>1262</v>
      </c>
      <c r="K56" s="32"/>
      <c r="L56" s="32"/>
      <c r="M56" s="32"/>
      <c r="N56" s="32"/>
      <c r="O56" s="32"/>
      <c r="P56" s="32"/>
      <c r="Q56" s="32"/>
      <c r="R56" s="32"/>
      <c r="S56" s="17"/>
      <c r="T56" s="17"/>
      <c r="U56" s="17"/>
      <c r="V56" s="17"/>
      <c r="W56" s="17"/>
      <c r="X56" s="17"/>
      <c r="Y56" s="17"/>
      <c r="Z56" s="17"/>
      <c r="AB56" s="107"/>
      <c r="AD56" s="32"/>
      <c r="AE56" s="109"/>
      <c r="AF56" s="10"/>
      <c r="AG56" s="10"/>
      <c r="AJ56" s="15"/>
      <c r="AK56" s="10"/>
    </row>
    <row r="57" spans="1:37" ht="16.5" hidden="1" thickBot="1" x14ac:dyDescent="0.3">
      <c r="A57" s="365">
        <f t="shared" si="12"/>
        <v>1</v>
      </c>
      <c r="B57" s="226">
        <v>41518</v>
      </c>
      <c r="C57" s="37">
        <v>50143</v>
      </c>
      <c r="D57" s="26"/>
      <c r="E57" s="26">
        <v>16564</v>
      </c>
      <c r="F57" s="42">
        <f t="shared" si="16"/>
        <v>66707</v>
      </c>
      <c r="G57" s="37">
        <v>928</v>
      </c>
      <c r="H57" s="26"/>
      <c r="I57" s="26">
        <v>385</v>
      </c>
      <c r="J57" s="515">
        <f>SUM(G57:I57)</f>
        <v>1313</v>
      </c>
      <c r="K57" s="32"/>
      <c r="L57" s="32"/>
      <c r="M57" s="32"/>
      <c r="N57" s="32"/>
      <c r="O57" s="32"/>
      <c r="P57" s="32"/>
      <c r="Q57" s="32"/>
      <c r="R57" s="32"/>
      <c r="S57" s="17"/>
      <c r="T57" s="17"/>
      <c r="AB57" s="107"/>
      <c r="AD57" s="32"/>
      <c r="AE57" s="109"/>
      <c r="AF57" s="10"/>
      <c r="AG57" s="10"/>
      <c r="AJ57" s="15"/>
      <c r="AK57" s="10"/>
    </row>
    <row r="58" spans="1:37" ht="16.5" hidden="1" thickBot="1" x14ac:dyDescent="0.3">
      <c r="A58" s="365">
        <f t="shared" si="12"/>
        <v>1</v>
      </c>
      <c r="B58" s="226">
        <v>41548</v>
      </c>
      <c r="C58" s="37">
        <v>43294</v>
      </c>
      <c r="D58" s="26"/>
      <c r="E58" s="26">
        <v>20972</v>
      </c>
      <c r="F58" s="42">
        <f t="shared" si="16"/>
        <v>64266</v>
      </c>
      <c r="G58" s="37">
        <v>246</v>
      </c>
      <c r="H58" s="26"/>
      <c r="I58" s="26">
        <v>533</v>
      </c>
      <c r="J58" s="515">
        <f t="shared" ref="J58:J66" si="17">SUM(G58:I58)</f>
        <v>779</v>
      </c>
      <c r="K58" s="32"/>
      <c r="L58" s="32"/>
      <c r="M58" s="32"/>
      <c r="N58" s="32"/>
      <c r="O58" s="32"/>
      <c r="P58" s="32"/>
      <c r="Q58" s="32"/>
      <c r="R58" s="32"/>
      <c r="S58" s="17"/>
      <c r="T58" s="17"/>
      <c r="AB58" s="107"/>
      <c r="AD58" s="32"/>
      <c r="AE58" s="109"/>
      <c r="AF58" s="10"/>
      <c r="AG58" s="10"/>
      <c r="AJ58" s="15"/>
      <c r="AK58" s="10"/>
    </row>
    <row r="59" spans="1:37" ht="16.5" hidden="1" thickBot="1" x14ac:dyDescent="0.3">
      <c r="A59" s="365">
        <f t="shared" si="12"/>
        <v>1</v>
      </c>
      <c r="B59" s="226">
        <v>41579</v>
      </c>
      <c r="C59" s="37">
        <v>39832</v>
      </c>
      <c r="D59" s="26"/>
      <c r="E59" s="26">
        <v>19542</v>
      </c>
      <c r="F59" s="42">
        <f t="shared" si="16"/>
        <v>59374</v>
      </c>
      <c r="G59" s="37">
        <v>313</v>
      </c>
      <c r="H59" s="26"/>
      <c r="I59" s="26">
        <v>534</v>
      </c>
      <c r="J59" s="515">
        <f t="shared" si="17"/>
        <v>847</v>
      </c>
      <c r="K59" s="32"/>
      <c r="L59" s="32"/>
      <c r="M59" s="32"/>
      <c r="N59" s="32"/>
      <c r="O59" s="32"/>
      <c r="P59" s="32"/>
      <c r="Q59" s="32"/>
      <c r="R59" s="32"/>
      <c r="S59" s="17"/>
      <c r="T59" s="17"/>
      <c r="W59" s="765"/>
      <c r="X59" s="766"/>
      <c r="Y59" s="766"/>
      <c r="Z59" s="766"/>
      <c r="AA59" s="767"/>
      <c r="AB59" s="768"/>
      <c r="AC59" s="769"/>
      <c r="AD59" s="769"/>
      <c r="AE59" s="769"/>
      <c r="AF59" s="770"/>
      <c r="AG59" s="10"/>
      <c r="AJ59" s="15"/>
      <c r="AK59" s="10"/>
    </row>
    <row r="60" spans="1:37" ht="37.5" hidden="1" customHeight="1" thickBot="1" x14ac:dyDescent="0.3">
      <c r="A60" s="365">
        <f t="shared" si="12"/>
        <v>1</v>
      </c>
      <c r="B60" s="226">
        <v>41609</v>
      </c>
      <c r="C60" s="37">
        <v>40150</v>
      </c>
      <c r="D60" s="26"/>
      <c r="E60" s="26">
        <v>20376</v>
      </c>
      <c r="F60" s="42">
        <f t="shared" si="16"/>
        <v>60526</v>
      </c>
      <c r="G60" s="37">
        <v>354</v>
      </c>
      <c r="H60" s="26"/>
      <c r="I60" s="26">
        <v>540</v>
      </c>
      <c r="J60" s="515">
        <f t="shared" si="17"/>
        <v>894</v>
      </c>
      <c r="K60" s="32"/>
      <c r="L60" s="32"/>
      <c r="M60" s="32"/>
      <c r="N60" s="32"/>
      <c r="O60" s="32"/>
      <c r="P60" s="32"/>
      <c r="Q60" s="32"/>
      <c r="R60" s="32"/>
      <c r="S60" s="17"/>
      <c r="T60" s="17"/>
      <c r="W60" s="764"/>
      <c r="X60" s="762"/>
      <c r="Y60" s="129"/>
      <c r="Z60" s="762"/>
      <c r="AA60" s="763"/>
      <c r="AB60" s="764"/>
      <c r="AC60" s="762"/>
      <c r="AD60" s="129"/>
      <c r="AE60" s="762"/>
      <c r="AF60" s="763"/>
      <c r="AG60" s="10"/>
      <c r="AJ60" s="15"/>
      <c r="AK60" s="10"/>
    </row>
    <row r="61" spans="1:37" ht="16.5" hidden="1" thickBot="1" x14ac:dyDescent="0.3">
      <c r="A61" s="365">
        <f t="shared" si="12"/>
        <v>1</v>
      </c>
      <c r="B61" s="226">
        <v>41640</v>
      </c>
      <c r="C61" s="37">
        <v>39924</v>
      </c>
      <c r="D61" s="26"/>
      <c r="E61" s="26">
        <v>20324</v>
      </c>
      <c r="F61" s="42">
        <f t="shared" si="16"/>
        <v>60248</v>
      </c>
      <c r="G61" s="37">
        <v>310</v>
      </c>
      <c r="H61" s="168"/>
      <c r="I61" s="168">
        <v>561</v>
      </c>
      <c r="J61" s="515">
        <f t="shared" si="17"/>
        <v>871</v>
      </c>
      <c r="K61" s="32"/>
      <c r="L61" s="32"/>
      <c r="M61" s="32"/>
      <c r="N61" s="32"/>
      <c r="O61" s="32"/>
      <c r="P61" s="32"/>
      <c r="Q61" s="32"/>
      <c r="R61" s="32"/>
      <c r="S61" s="17"/>
      <c r="T61" s="17"/>
      <c r="V61" s="131"/>
      <c r="W61" s="132"/>
      <c r="X61" s="133"/>
      <c r="Y61" s="265"/>
      <c r="Z61" s="73"/>
      <c r="AA61" s="74"/>
      <c r="AB61" s="132"/>
      <c r="AC61" s="133"/>
      <c r="AD61" s="265"/>
      <c r="AE61" s="73"/>
      <c r="AF61" s="74"/>
      <c r="AG61" s="10"/>
      <c r="AJ61" s="15"/>
      <c r="AK61" s="10"/>
    </row>
    <row r="62" spans="1:37" ht="16.5" hidden="1" thickBot="1" x14ac:dyDescent="0.3">
      <c r="A62" s="365">
        <f t="shared" si="12"/>
        <v>1</v>
      </c>
      <c r="B62" s="226">
        <v>41671</v>
      </c>
      <c r="C62" s="37">
        <v>37490</v>
      </c>
      <c r="D62" s="26"/>
      <c r="E62" s="26">
        <v>19050</v>
      </c>
      <c r="F62" s="42">
        <f t="shared" si="16"/>
        <v>56540</v>
      </c>
      <c r="G62" s="37">
        <v>300</v>
      </c>
      <c r="H62" s="168"/>
      <c r="I62" s="168">
        <v>566</v>
      </c>
      <c r="J62" s="515">
        <f t="shared" si="17"/>
        <v>866</v>
      </c>
      <c r="K62" s="32"/>
      <c r="L62" s="32"/>
      <c r="M62" s="32"/>
      <c r="N62" s="32"/>
      <c r="O62" s="32"/>
      <c r="P62" s="32"/>
      <c r="Q62" s="32"/>
      <c r="R62" s="32"/>
      <c r="S62" s="17"/>
      <c r="T62" s="17"/>
      <c r="U62" s="17"/>
      <c r="V62" s="131"/>
      <c r="W62" s="132"/>
      <c r="X62" s="133"/>
      <c r="Y62" s="265"/>
      <c r="Z62" s="73"/>
      <c r="AA62" s="74"/>
      <c r="AB62" s="132"/>
      <c r="AC62" s="133"/>
      <c r="AD62" s="265"/>
      <c r="AE62" s="73"/>
      <c r="AF62" s="74"/>
      <c r="AG62" s="10"/>
      <c r="AJ62" s="15"/>
      <c r="AK62" s="10"/>
    </row>
    <row r="63" spans="1:37" ht="16.5" hidden="1" thickBot="1" x14ac:dyDescent="0.3">
      <c r="A63" s="365">
        <f t="shared" si="12"/>
        <v>1</v>
      </c>
      <c r="B63" s="226">
        <v>41699</v>
      </c>
      <c r="C63" s="37">
        <v>39972</v>
      </c>
      <c r="D63" s="26"/>
      <c r="E63" s="26">
        <v>20690</v>
      </c>
      <c r="F63" s="42">
        <f t="shared" si="16"/>
        <v>60662</v>
      </c>
      <c r="G63" s="37">
        <v>333</v>
      </c>
      <c r="H63" s="168"/>
      <c r="I63" s="168">
        <v>593</v>
      </c>
      <c r="J63" s="515">
        <f t="shared" si="17"/>
        <v>926</v>
      </c>
      <c r="K63" s="32"/>
      <c r="L63" s="32"/>
      <c r="M63" s="32"/>
      <c r="N63" s="32"/>
      <c r="O63" s="32"/>
      <c r="P63" s="32"/>
      <c r="Q63" s="32"/>
      <c r="R63" s="32"/>
      <c r="S63" s="17"/>
      <c r="T63" s="17"/>
      <c r="U63" s="17"/>
      <c r="V63" s="131"/>
      <c r="W63" s="132"/>
      <c r="X63" s="133"/>
      <c r="Y63" s="265"/>
      <c r="Z63" s="73"/>
      <c r="AA63" s="74"/>
      <c r="AB63" s="132"/>
      <c r="AC63" s="133"/>
      <c r="AD63" s="265"/>
      <c r="AE63" s="73"/>
      <c r="AF63" s="74"/>
      <c r="AG63" s="10"/>
      <c r="AJ63" s="15"/>
      <c r="AK63" s="10"/>
    </row>
    <row r="64" spans="1:37" ht="16.5" hidden="1" thickBot="1" x14ac:dyDescent="0.3">
      <c r="A64" s="365">
        <f t="shared" si="12"/>
        <v>1</v>
      </c>
      <c r="B64" s="226">
        <v>41730</v>
      </c>
      <c r="C64" s="37">
        <v>40436</v>
      </c>
      <c r="D64" s="26"/>
      <c r="E64" s="26">
        <v>20255</v>
      </c>
      <c r="F64" s="42">
        <f t="shared" si="16"/>
        <v>60691</v>
      </c>
      <c r="G64" s="37">
        <v>332</v>
      </c>
      <c r="H64" s="168"/>
      <c r="I64" s="168">
        <v>536</v>
      </c>
      <c r="J64" s="515">
        <f t="shared" si="17"/>
        <v>868</v>
      </c>
      <c r="K64" s="32"/>
      <c r="L64" s="32"/>
      <c r="M64" s="32"/>
      <c r="N64" s="32"/>
      <c r="O64" s="32"/>
      <c r="P64" s="32"/>
      <c r="Q64" s="32"/>
      <c r="R64" s="32"/>
      <c r="S64" s="17"/>
      <c r="T64" s="17"/>
      <c r="V64" s="131"/>
      <c r="W64" s="132"/>
      <c r="X64" s="133"/>
      <c r="Y64" s="265"/>
      <c r="Z64" s="73"/>
      <c r="AA64" s="74"/>
      <c r="AB64" s="132"/>
      <c r="AC64" s="133"/>
      <c r="AD64" s="265"/>
      <c r="AE64" s="73"/>
      <c r="AF64" s="74"/>
      <c r="AG64" s="10"/>
      <c r="AJ64" s="15"/>
      <c r="AK64" s="10"/>
    </row>
    <row r="65" spans="1:37" ht="16.5" hidden="1" thickBot="1" x14ac:dyDescent="0.3">
      <c r="A65" s="365">
        <f t="shared" si="12"/>
        <v>1</v>
      </c>
      <c r="B65" s="226">
        <v>41760</v>
      </c>
      <c r="C65" s="37">
        <v>37893</v>
      </c>
      <c r="D65" s="26"/>
      <c r="E65" s="26">
        <v>18554</v>
      </c>
      <c r="F65" s="42">
        <f t="shared" si="16"/>
        <v>56447</v>
      </c>
      <c r="G65" s="37">
        <v>298</v>
      </c>
      <c r="H65" s="168"/>
      <c r="I65" s="168">
        <v>496</v>
      </c>
      <c r="J65" s="515">
        <f t="shared" si="17"/>
        <v>794</v>
      </c>
      <c r="K65" s="32"/>
      <c r="L65" s="32"/>
      <c r="M65" s="32"/>
      <c r="N65" s="32"/>
      <c r="O65" s="32"/>
      <c r="P65" s="32"/>
      <c r="Q65" s="32"/>
      <c r="R65" s="32"/>
      <c r="S65" s="17"/>
      <c r="T65" s="17"/>
      <c r="V65" s="131"/>
      <c r="W65" s="132"/>
      <c r="X65" s="133"/>
      <c r="Y65" s="265"/>
      <c r="Z65" s="73"/>
      <c r="AA65" s="74"/>
      <c r="AB65" s="132"/>
      <c r="AC65" s="133"/>
      <c r="AD65" s="265"/>
      <c r="AE65" s="73"/>
      <c r="AF65" s="74"/>
      <c r="AG65" s="10"/>
      <c r="AJ65" s="15"/>
      <c r="AK65" s="10"/>
    </row>
    <row r="66" spans="1:37" ht="16.5" hidden="1" thickBot="1" x14ac:dyDescent="0.3">
      <c r="A66" s="365">
        <f t="shared" si="12"/>
        <v>1</v>
      </c>
      <c r="B66" s="226">
        <v>41791</v>
      </c>
      <c r="C66" s="37">
        <v>38258</v>
      </c>
      <c r="D66" s="26"/>
      <c r="E66" s="26">
        <v>18612</v>
      </c>
      <c r="F66" s="42">
        <f t="shared" si="16"/>
        <v>56870</v>
      </c>
      <c r="G66" s="37">
        <v>276</v>
      </c>
      <c r="H66" s="168"/>
      <c r="I66" s="168">
        <v>527</v>
      </c>
      <c r="J66" s="515">
        <f t="shared" si="17"/>
        <v>803</v>
      </c>
      <c r="K66" s="32"/>
      <c r="L66" s="32"/>
      <c r="M66" s="32"/>
      <c r="N66" s="32"/>
      <c r="O66" s="32"/>
      <c r="P66" s="32"/>
      <c r="Q66" s="32"/>
      <c r="R66" s="32"/>
      <c r="S66" s="17"/>
      <c r="T66" s="17"/>
      <c r="V66" s="131"/>
      <c r="W66" s="134"/>
      <c r="X66" s="135"/>
      <c r="Y66" s="266"/>
      <c r="Z66" s="75"/>
      <c r="AA66" s="76"/>
      <c r="AB66" s="134"/>
      <c r="AC66" s="135"/>
      <c r="AD66" s="266"/>
      <c r="AE66" s="75"/>
      <c r="AF66" s="76"/>
      <c r="AG66" s="10"/>
      <c r="AJ66" s="15"/>
      <c r="AK66" s="10"/>
    </row>
    <row r="67" spans="1:37" ht="16.5" hidden="1" thickBot="1" x14ac:dyDescent="0.3">
      <c r="A67" s="365">
        <f t="shared" si="12"/>
        <v>1</v>
      </c>
      <c r="B67" s="230" t="s">
        <v>155</v>
      </c>
      <c r="C67" s="46">
        <f>ROUND(AVERAGE(C55:C66),0)</f>
        <v>42510</v>
      </c>
      <c r="D67" s="47"/>
      <c r="E67" s="47">
        <f t="shared" ref="E67:I67" si="18">ROUND(AVERAGE(E55:E66),0)</f>
        <v>19043</v>
      </c>
      <c r="F67" s="47">
        <f>ROUND(AVERAGE(F55:F66),0)</f>
        <v>61553</v>
      </c>
      <c r="G67" s="46">
        <f t="shared" si="18"/>
        <v>451</v>
      </c>
      <c r="H67" s="47"/>
      <c r="I67" s="47">
        <f t="shared" si="18"/>
        <v>502</v>
      </c>
      <c r="J67" s="513">
        <f>ROUND(AVERAGE(J55:J66),0)</f>
        <v>952</v>
      </c>
      <c r="K67" s="32"/>
      <c r="L67" s="32"/>
      <c r="M67" s="32"/>
      <c r="N67" s="32"/>
      <c r="O67" s="32"/>
      <c r="P67" s="32"/>
      <c r="Q67" s="32"/>
      <c r="R67" s="32"/>
      <c r="S67" s="17"/>
      <c r="T67" s="17"/>
      <c r="Y67" s="267"/>
      <c r="AB67" s="107"/>
      <c r="AD67" s="269"/>
      <c r="AE67" s="109"/>
      <c r="AF67" s="10"/>
      <c r="AG67" s="10"/>
      <c r="AJ67" s="15"/>
      <c r="AK67" s="10"/>
    </row>
    <row r="68" spans="1:37" hidden="1" x14ac:dyDescent="0.25">
      <c r="A68" s="365">
        <f t="shared" si="12"/>
        <v>1</v>
      </c>
      <c r="B68" s="226">
        <v>41821</v>
      </c>
      <c r="C68" s="37">
        <v>37832</v>
      </c>
      <c r="D68" s="26"/>
      <c r="E68" s="26">
        <v>17496</v>
      </c>
      <c r="F68" s="42">
        <f t="shared" ref="F68:F73" si="19">SUM(C68:E68)</f>
        <v>55328</v>
      </c>
      <c r="G68" s="37">
        <v>229</v>
      </c>
      <c r="H68" s="26"/>
      <c r="I68" s="26">
        <v>460</v>
      </c>
      <c r="J68" s="515">
        <f t="shared" ref="J68:J73" si="20">SUM(G68:I68)</f>
        <v>689</v>
      </c>
      <c r="K68" s="32"/>
      <c r="L68" s="32"/>
      <c r="M68" s="32"/>
      <c r="N68" s="32"/>
      <c r="O68" s="32"/>
      <c r="P68" s="32"/>
      <c r="Q68" s="32"/>
      <c r="R68" s="32"/>
      <c r="S68" s="17"/>
      <c r="T68" s="17"/>
      <c r="V68" s="131"/>
      <c r="W68" s="137"/>
      <c r="X68" s="138"/>
      <c r="Y68" s="268"/>
      <c r="Z68" s="77"/>
      <c r="AA68" s="78"/>
      <c r="AB68" s="139"/>
      <c r="AC68" s="138"/>
      <c r="AD68" s="268"/>
      <c r="AE68" s="77"/>
      <c r="AF68" s="78"/>
      <c r="AG68" s="10"/>
      <c r="AJ68" s="15"/>
      <c r="AK68" s="10"/>
    </row>
    <row r="69" spans="1:37" hidden="1" x14ac:dyDescent="0.25">
      <c r="A69" s="365">
        <f t="shared" si="12"/>
        <v>1</v>
      </c>
      <c r="B69" s="226">
        <v>41852</v>
      </c>
      <c r="C69" s="37">
        <v>39858</v>
      </c>
      <c r="D69" s="26"/>
      <c r="E69" s="26">
        <v>19106</v>
      </c>
      <c r="F69" s="42">
        <f t="shared" si="19"/>
        <v>58964</v>
      </c>
      <c r="G69" s="37">
        <v>296</v>
      </c>
      <c r="H69" s="26"/>
      <c r="I69" s="26">
        <v>496</v>
      </c>
      <c r="J69" s="515">
        <f t="shared" si="20"/>
        <v>792</v>
      </c>
      <c r="K69" s="32"/>
      <c r="L69" s="32"/>
      <c r="M69" s="32"/>
      <c r="N69" s="32"/>
      <c r="O69" s="32"/>
      <c r="P69" s="32"/>
      <c r="Q69" s="32"/>
      <c r="R69" s="32"/>
      <c r="S69" s="17"/>
      <c r="T69" s="17"/>
      <c r="W69" s="140"/>
      <c r="X69" s="116"/>
      <c r="Y69" s="265"/>
      <c r="Z69" s="116"/>
      <c r="AA69" s="141"/>
      <c r="AB69" s="142"/>
      <c r="AC69" s="116"/>
      <c r="AD69" s="270"/>
      <c r="AE69" s="143"/>
      <c r="AF69" s="144"/>
      <c r="AG69" s="10"/>
      <c r="AJ69" s="15"/>
      <c r="AK69" s="10"/>
    </row>
    <row r="70" spans="1:37" hidden="1" x14ac:dyDescent="0.25">
      <c r="A70" s="365">
        <f t="shared" si="12"/>
        <v>1</v>
      </c>
      <c r="B70" s="226">
        <v>41883</v>
      </c>
      <c r="C70" s="37">
        <v>38675</v>
      </c>
      <c r="D70" s="26"/>
      <c r="E70" s="26">
        <v>18350</v>
      </c>
      <c r="F70" s="42">
        <f t="shared" si="19"/>
        <v>57025</v>
      </c>
      <c r="G70" s="37">
        <v>273</v>
      </c>
      <c r="H70" s="26"/>
      <c r="I70" s="26">
        <v>488</v>
      </c>
      <c r="J70" s="515">
        <f t="shared" si="20"/>
        <v>761</v>
      </c>
      <c r="K70" s="32"/>
      <c r="L70" s="32"/>
      <c r="M70" s="32"/>
      <c r="N70" s="32"/>
      <c r="O70" s="32"/>
      <c r="P70" s="32"/>
      <c r="Q70" s="32"/>
      <c r="R70" s="32"/>
      <c r="S70" s="17"/>
      <c r="T70" s="17"/>
      <c r="W70" s="140"/>
      <c r="X70" s="116"/>
      <c r="Y70" s="265"/>
      <c r="Z70" s="116"/>
      <c r="AA70" s="141"/>
      <c r="AB70" s="142"/>
      <c r="AC70" s="116"/>
      <c r="AD70" s="270"/>
      <c r="AE70" s="143"/>
      <c r="AF70" s="144"/>
      <c r="AG70" s="10"/>
      <c r="AJ70" s="15"/>
      <c r="AK70" s="10"/>
    </row>
    <row r="71" spans="1:37" hidden="1" x14ac:dyDescent="0.25">
      <c r="A71" s="365">
        <f t="shared" si="12"/>
        <v>1</v>
      </c>
      <c r="B71" s="226">
        <v>41913</v>
      </c>
      <c r="C71" s="37">
        <v>35543</v>
      </c>
      <c r="D71" s="26"/>
      <c r="E71" s="26">
        <v>16449</v>
      </c>
      <c r="F71" s="42">
        <f t="shared" si="19"/>
        <v>51992</v>
      </c>
      <c r="G71" s="37">
        <v>224</v>
      </c>
      <c r="H71" s="26"/>
      <c r="I71" s="26">
        <v>457</v>
      </c>
      <c r="J71" s="515">
        <f t="shared" si="20"/>
        <v>681</v>
      </c>
      <c r="K71" s="32"/>
      <c r="L71" s="32"/>
      <c r="M71" s="32"/>
      <c r="N71" s="32"/>
      <c r="O71" s="32"/>
      <c r="P71" s="32"/>
      <c r="Q71" s="32"/>
      <c r="R71" s="32"/>
      <c r="S71" s="17"/>
      <c r="T71" s="17"/>
      <c r="W71" s="140"/>
      <c r="X71" s="116"/>
      <c r="Y71" s="265"/>
      <c r="Z71" s="116"/>
      <c r="AA71" s="141"/>
      <c r="AB71" s="142"/>
      <c r="AC71" s="116"/>
      <c r="AD71" s="270"/>
      <c r="AE71" s="143"/>
      <c r="AF71" s="144"/>
      <c r="AG71" s="10"/>
      <c r="AJ71" s="15"/>
      <c r="AK71" s="10"/>
    </row>
    <row r="72" spans="1:37" hidden="1" x14ac:dyDescent="0.25">
      <c r="A72" s="365">
        <f t="shared" si="12"/>
        <v>1</v>
      </c>
      <c r="B72" s="226">
        <v>41944</v>
      </c>
      <c r="C72" s="37">
        <v>35405</v>
      </c>
      <c r="D72" s="26"/>
      <c r="E72" s="26">
        <v>16027</v>
      </c>
      <c r="F72" s="42">
        <f t="shared" si="19"/>
        <v>51432</v>
      </c>
      <c r="G72" s="37">
        <v>233</v>
      </c>
      <c r="H72" s="26"/>
      <c r="I72" s="26">
        <v>455</v>
      </c>
      <c r="J72" s="515">
        <f t="shared" si="20"/>
        <v>688</v>
      </c>
      <c r="K72" s="32"/>
      <c r="L72" s="32"/>
      <c r="M72" s="32"/>
      <c r="N72" s="32"/>
      <c r="O72" s="32"/>
      <c r="P72" s="32"/>
      <c r="Q72" s="32"/>
      <c r="R72" s="32"/>
      <c r="S72" s="17"/>
      <c r="T72" s="17"/>
      <c r="W72" s="140"/>
      <c r="X72" s="116"/>
      <c r="Y72" s="265"/>
      <c r="Z72" s="116"/>
      <c r="AA72" s="141"/>
      <c r="AB72" s="142"/>
      <c r="AC72" s="116"/>
      <c r="AD72" s="270"/>
      <c r="AE72" s="143"/>
      <c r="AF72" s="144"/>
      <c r="AG72" s="10"/>
      <c r="AJ72" s="15"/>
      <c r="AK72" s="10"/>
    </row>
    <row r="73" spans="1:37" hidden="1" x14ac:dyDescent="0.25">
      <c r="A73" s="365">
        <f t="shared" si="12"/>
        <v>1</v>
      </c>
      <c r="B73" s="226">
        <v>41974</v>
      </c>
      <c r="C73" s="37">
        <v>36771</v>
      </c>
      <c r="D73" s="26"/>
      <c r="E73" s="26">
        <v>15851</v>
      </c>
      <c r="F73" s="42">
        <f t="shared" si="19"/>
        <v>52622</v>
      </c>
      <c r="G73" s="37">
        <v>232</v>
      </c>
      <c r="H73" s="26"/>
      <c r="I73" s="26">
        <v>446</v>
      </c>
      <c r="J73" s="515">
        <f t="shared" si="20"/>
        <v>678</v>
      </c>
      <c r="K73" s="32"/>
      <c r="L73" s="32"/>
      <c r="M73" s="32"/>
      <c r="N73" s="32"/>
      <c r="O73" s="32"/>
      <c r="P73" s="32"/>
      <c r="Q73" s="32"/>
      <c r="R73" s="32"/>
      <c r="S73" s="17"/>
      <c r="T73" s="17"/>
      <c r="W73" s="140"/>
      <c r="X73" s="116"/>
      <c r="Y73" s="265"/>
      <c r="Z73" s="116"/>
      <c r="AA73" s="141"/>
      <c r="AB73" s="142"/>
      <c r="AC73" s="116"/>
      <c r="AD73" s="270"/>
      <c r="AE73" s="143"/>
      <c r="AF73" s="144"/>
      <c r="AG73" s="10"/>
      <c r="AJ73" s="15"/>
      <c r="AK73" s="10"/>
    </row>
    <row r="74" spans="1:37" hidden="1" x14ac:dyDescent="0.25">
      <c r="A74" s="365">
        <f t="shared" si="12"/>
        <v>1</v>
      </c>
      <c r="B74" s="226">
        <v>42005</v>
      </c>
      <c r="C74" s="37">
        <v>36177</v>
      </c>
      <c r="D74" s="26"/>
      <c r="E74" s="26">
        <v>15780</v>
      </c>
      <c r="F74" s="42">
        <f t="shared" ref="F74:F79" si="21">SUM(C74:E74)</f>
        <v>51957</v>
      </c>
      <c r="G74" s="37">
        <v>205</v>
      </c>
      <c r="H74" s="26"/>
      <c r="I74" s="26">
        <v>478</v>
      </c>
      <c r="J74" s="515">
        <f t="shared" ref="J74:J79" si="22">SUM(G74:I74)</f>
        <v>683</v>
      </c>
      <c r="K74" s="32"/>
      <c r="L74" s="32"/>
      <c r="M74" s="32"/>
      <c r="N74" s="32"/>
      <c r="O74" s="32"/>
      <c r="P74" s="32"/>
      <c r="Q74" s="32"/>
      <c r="R74" s="32"/>
      <c r="S74" s="17"/>
      <c r="T74" s="17"/>
      <c r="W74" s="140"/>
      <c r="X74" s="116"/>
      <c r="Y74" s="265"/>
      <c r="Z74" s="116"/>
      <c r="AA74" s="141"/>
      <c r="AB74" s="142"/>
      <c r="AC74" s="116"/>
      <c r="AD74" s="270"/>
      <c r="AE74" s="143"/>
      <c r="AF74" s="144"/>
      <c r="AG74" s="10"/>
      <c r="AJ74" s="15"/>
      <c r="AK74" s="10"/>
    </row>
    <row r="75" spans="1:37" hidden="1" x14ac:dyDescent="0.25">
      <c r="A75" s="365">
        <f t="shared" si="12"/>
        <v>1</v>
      </c>
      <c r="B75" s="226">
        <v>42036</v>
      </c>
      <c r="C75" s="37">
        <v>36686</v>
      </c>
      <c r="D75" s="26"/>
      <c r="E75" s="26">
        <v>15980</v>
      </c>
      <c r="F75" s="42">
        <f t="shared" si="21"/>
        <v>52666</v>
      </c>
      <c r="G75" s="37">
        <v>200</v>
      </c>
      <c r="H75" s="26"/>
      <c r="I75" s="26">
        <v>465</v>
      </c>
      <c r="J75" s="515">
        <f t="shared" si="22"/>
        <v>665</v>
      </c>
      <c r="K75" s="32"/>
      <c r="L75" s="32"/>
      <c r="M75" s="32"/>
      <c r="N75" s="32"/>
      <c r="O75" s="32"/>
      <c r="P75" s="32"/>
      <c r="Q75" s="32"/>
      <c r="R75" s="32"/>
      <c r="S75" s="17"/>
      <c r="T75" s="17"/>
      <c r="W75" s="140"/>
      <c r="X75" s="116"/>
      <c r="Y75" s="265"/>
      <c r="Z75" s="116"/>
      <c r="AA75" s="141"/>
      <c r="AB75" s="142"/>
      <c r="AC75" s="116"/>
      <c r="AD75" s="270"/>
      <c r="AE75" s="143"/>
      <c r="AF75" s="144"/>
      <c r="AG75" s="10"/>
      <c r="AJ75" s="15"/>
      <c r="AK75" s="10"/>
    </row>
    <row r="76" spans="1:37" hidden="1" x14ac:dyDescent="0.25">
      <c r="A76" s="365">
        <f t="shared" si="12"/>
        <v>1</v>
      </c>
      <c r="B76" s="226">
        <v>42064</v>
      </c>
      <c r="C76" s="367">
        <v>36909</v>
      </c>
      <c r="D76" s="368"/>
      <c r="E76" s="368">
        <v>16068</v>
      </c>
      <c r="F76" s="42">
        <f t="shared" si="21"/>
        <v>52977</v>
      </c>
      <c r="G76" s="367">
        <v>195</v>
      </c>
      <c r="H76" s="368"/>
      <c r="I76" s="368">
        <v>485</v>
      </c>
      <c r="J76" s="515">
        <f t="shared" si="22"/>
        <v>680</v>
      </c>
      <c r="K76" s="32"/>
      <c r="L76" s="32"/>
      <c r="M76" s="32"/>
      <c r="N76" s="32"/>
      <c r="O76" s="32"/>
      <c r="P76" s="32"/>
      <c r="Q76" s="32"/>
      <c r="R76" s="32"/>
      <c r="S76" s="17"/>
      <c r="T76" s="17"/>
      <c r="W76" s="140"/>
      <c r="X76" s="116"/>
      <c r="Y76" s="265"/>
      <c r="Z76" s="116"/>
      <c r="AA76" s="141"/>
      <c r="AB76" s="142"/>
      <c r="AC76" s="116"/>
      <c r="AD76" s="270"/>
      <c r="AE76" s="143"/>
      <c r="AF76" s="144"/>
      <c r="AG76" s="10"/>
      <c r="AJ76" s="15"/>
      <c r="AK76" s="10"/>
    </row>
    <row r="77" spans="1:37" hidden="1" x14ac:dyDescent="0.25">
      <c r="A77" s="365">
        <f t="shared" si="12"/>
        <v>1</v>
      </c>
      <c r="B77" s="226">
        <v>42095</v>
      </c>
      <c r="C77" s="367">
        <v>37175</v>
      </c>
      <c r="D77" s="368"/>
      <c r="E77" s="368">
        <v>16327</v>
      </c>
      <c r="F77" s="42">
        <f t="shared" si="21"/>
        <v>53502</v>
      </c>
      <c r="G77" s="367">
        <v>214</v>
      </c>
      <c r="H77" s="368"/>
      <c r="I77" s="368">
        <v>444</v>
      </c>
      <c r="J77" s="515">
        <f t="shared" si="22"/>
        <v>658</v>
      </c>
      <c r="K77" s="32"/>
      <c r="L77" s="32"/>
      <c r="M77" s="32"/>
      <c r="N77" s="32"/>
      <c r="O77" s="32"/>
      <c r="P77" s="32"/>
      <c r="Q77" s="32"/>
      <c r="R77" s="32"/>
      <c r="S77" s="17"/>
      <c r="T77" s="17"/>
      <c r="W77" s="140"/>
      <c r="X77" s="116"/>
      <c r="Y77" s="265"/>
      <c r="Z77" s="116"/>
      <c r="AA77" s="141"/>
      <c r="AB77" s="142"/>
      <c r="AC77" s="116"/>
      <c r="AD77" s="270"/>
      <c r="AE77" s="143"/>
      <c r="AF77" s="144"/>
      <c r="AG77" s="10"/>
      <c r="AJ77" s="15"/>
      <c r="AK77" s="10"/>
    </row>
    <row r="78" spans="1:37" hidden="1" x14ac:dyDescent="0.25">
      <c r="A78" s="365">
        <f t="shared" si="12"/>
        <v>1</v>
      </c>
      <c r="B78" s="226">
        <v>42125</v>
      </c>
      <c r="C78" s="367">
        <v>37114</v>
      </c>
      <c r="D78" s="368"/>
      <c r="E78" s="368">
        <v>16573</v>
      </c>
      <c r="F78" s="42">
        <f t="shared" si="21"/>
        <v>53687</v>
      </c>
      <c r="G78" s="367">
        <v>212</v>
      </c>
      <c r="H78" s="26"/>
      <c r="I78" s="26">
        <v>433</v>
      </c>
      <c r="J78" s="515">
        <f t="shared" si="22"/>
        <v>645</v>
      </c>
      <c r="K78" s="32"/>
      <c r="L78" s="32"/>
      <c r="M78" s="32"/>
      <c r="N78" s="32"/>
      <c r="O78" s="32"/>
      <c r="P78" s="32"/>
      <c r="Q78" s="32"/>
      <c r="R78" s="32"/>
      <c r="S78" s="17"/>
      <c r="T78" s="17"/>
      <c r="W78" s="140"/>
      <c r="X78" s="116"/>
      <c r="Y78" s="265"/>
      <c r="Z78" s="116"/>
      <c r="AA78" s="141"/>
      <c r="AB78" s="142"/>
      <c r="AC78" s="116"/>
      <c r="AD78" s="270"/>
      <c r="AE78" s="143"/>
      <c r="AF78" s="144"/>
      <c r="AG78" s="10"/>
      <c r="AJ78" s="15"/>
      <c r="AK78" s="10"/>
    </row>
    <row r="79" spans="1:37" ht="16.5" hidden="1" thickBot="1" x14ac:dyDescent="0.3">
      <c r="A79" s="365">
        <f t="shared" si="12"/>
        <v>1</v>
      </c>
      <c r="B79" s="226">
        <v>42156</v>
      </c>
      <c r="C79" s="37">
        <v>36236</v>
      </c>
      <c r="D79" s="26"/>
      <c r="E79" s="26">
        <v>16005</v>
      </c>
      <c r="F79" s="42">
        <f t="shared" si="21"/>
        <v>52241</v>
      </c>
      <c r="G79" s="37">
        <v>210</v>
      </c>
      <c r="H79" s="26"/>
      <c r="I79" s="26">
        <v>416</v>
      </c>
      <c r="J79" s="515">
        <f t="shared" si="22"/>
        <v>626</v>
      </c>
      <c r="K79" s="32"/>
      <c r="L79" s="32"/>
      <c r="M79" s="32"/>
      <c r="N79" s="32"/>
      <c r="O79" s="32"/>
      <c r="P79" s="32"/>
      <c r="Q79" s="32"/>
      <c r="R79" s="32"/>
      <c r="S79" s="17"/>
      <c r="T79" s="17"/>
      <c r="W79" s="145"/>
      <c r="X79" s="136"/>
      <c r="Y79" s="266"/>
      <c r="Z79" s="136"/>
      <c r="AA79" s="146"/>
      <c r="AB79" s="147"/>
      <c r="AC79" s="136"/>
      <c r="AD79" s="271"/>
      <c r="AE79" s="148"/>
      <c r="AF79" s="149"/>
      <c r="AG79" s="10"/>
      <c r="AJ79" s="15"/>
      <c r="AK79" s="10"/>
    </row>
    <row r="80" spans="1:37" s="377" customFormat="1" hidden="1" x14ac:dyDescent="0.25">
      <c r="A80" s="365">
        <f t="shared" si="12"/>
        <v>1</v>
      </c>
      <c r="B80" s="230" t="s">
        <v>258</v>
      </c>
      <c r="C80" s="46">
        <f>ROUND(AVERAGE(C68:C79),0)</f>
        <v>37032</v>
      </c>
      <c r="D80" s="47"/>
      <c r="E80" s="47">
        <f t="shared" ref="E80:I80" si="23">ROUND(AVERAGE(E68:E79),0)</f>
        <v>16668</v>
      </c>
      <c r="F80" s="47">
        <f>ROUND(AVERAGE(F68:F79),0)</f>
        <v>53699</v>
      </c>
      <c r="G80" s="46">
        <f t="shared" si="23"/>
        <v>227</v>
      </c>
      <c r="H80" s="46" t="e">
        <f t="shared" si="23"/>
        <v>#DIV/0!</v>
      </c>
      <c r="I80" s="47">
        <f t="shared" si="23"/>
        <v>460</v>
      </c>
      <c r="J80" s="513">
        <f>ROUND(AVERAGE(J68:J79),0)</f>
        <v>687</v>
      </c>
      <c r="K80" s="32"/>
      <c r="L80" s="32"/>
      <c r="M80" s="32"/>
      <c r="N80" s="32"/>
      <c r="O80" s="32"/>
      <c r="P80" s="32"/>
      <c r="Q80" s="32"/>
      <c r="R80" s="32"/>
      <c r="S80" s="17"/>
      <c r="T80" s="17"/>
      <c r="W80" s="15"/>
      <c r="X80" s="15"/>
      <c r="Y80" s="382"/>
      <c r="Z80" s="15"/>
      <c r="AA80" s="15"/>
      <c r="AB80" s="107"/>
      <c r="AC80" s="15"/>
      <c r="AD80" s="269"/>
      <c r="AE80" s="109"/>
      <c r="AF80" s="10"/>
      <c r="AG80" s="10"/>
      <c r="AJ80" s="15"/>
      <c r="AK80" s="10"/>
    </row>
    <row r="81" spans="1:37" s="377" customFormat="1" x14ac:dyDescent="0.25">
      <c r="A81" s="365">
        <f>IF(C81="",0,1)</f>
        <v>1</v>
      </c>
      <c r="B81" s="226">
        <v>42186</v>
      </c>
      <c r="C81" s="37">
        <v>35269</v>
      </c>
      <c r="D81" s="26"/>
      <c r="E81" s="26">
        <v>15382</v>
      </c>
      <c r="F81" s="42">
        <f t="shared" ref="F81:F92" si="24">SUM(C81:E81)</f>
        <v>50651</v>
      </c>
      <c r="G81" s="37">
        <v>206</v>
      </c>
      <c r="H81" s="26"/>
      <c r="I81" s="26">
        <v>415</v>
      </c>
      <c r="J81" s="515">
        <f t="shared" ref="J81:J92" si="25">SUM(G81:I81)</f>
        <v>621</v>
      </c>
      <c r="K81" s="32"/>
      <c r="L81" s="32"/>
      <c r="M81" s="32"/>
      <c r="N81" s="32"/>
      <c r="O81" s="32"/>
      <c r="P81" s="32"/>
      <c r="Q81" s="32"/>
      <c r="R81" s="32"/>
      <c r="S81" s="17"/>
      <c r="T81" s="17"/>
      <c r="W81" s="15"/>
      <c r="X81" s="15"/>
      <c r="Y81" s="382"/>
      <c r="Z81" s="15"/>
      <c r="AA81" s="15"/>
      <c r="AB81" s="107"/>
      <c r="AC81" s="15"/>
      <c r="AD81" s="269"/>
      <c r="AE81" s="109"/>
      <c r="AF81" s="10"/>
      <c r="AG81" s="10"/>
      <c r="AJ81" s="15"/>
      <c r="AK81" s="10"/>
    </row>
    <row r="82" spans="1:37" s="377" customFormat="1" x14ac:dyDescent="0.25">
      <c r="A82" s="365">
        <f t="shared" si="12"/>
        <v>1</v>
      </c>
      <c r="B82" s="226">
        <v>42217</v>
      </c>
      <c r="C82" s="37">
        <v>33608</v>
      </c>
      <c r="D82" s="26"/>
      <c r="E82" s="26">
        <v>14765</v>
      </c>
      <c r="F82" s="42">
        <f t="shared" si="24"/>
        <v>48373</v>
      </c>
      <c r="G82" s="37">
        <v>189</v>
      </c>
      <c r="H82" s="26"/>
      <c r="I82" s="26">
        <v>398</v>
      </c>
      <c r="J82" s="515">
        <f t="shared" si="25"/>
        <v>587</v>
      </c>
      <c r="K82" s="32"/>
      <c r="L82" s="32"/>
      <c r="M82" s="32"/>
      <c r="N82" s="32"/>
      <c r="O82" s="32"/>
      <c r="P82" s="32"/>
      <c r="Q82" s="32"/>
      <c r="R82" s="32"/>
      <c r="S82" s="17"/>
      <c r="T82" s="17"/>
      <c r="W82" s="15"/>
      <c r="X82" s="15"/>
      <c r="Y82" s="382"/>
      <c r="Z82" s="15"/>
      <c r="AA82" s="15"/>
      <c r="AB82" s="107"/>
      <c r="AC82" s="15"/>
      <c r="AD82" s="269"/>
      <c r="AE82" s="109"/>
      <c r="AF82" s="10"/>
      <c r="AG82" s="10"/>
      <c r="AJ82" s="15"/>
      <c r="AK82" s="10"/>
    </row>
    <row r="83" spans="1:37" s="377" customFormat="1" x14ac:dyDescent="0.25">
      <c r="A83" s="365">
        <f t="shared" si="12"/>
        <v>1</v>
      </c>
      <c r="B83" s="226">
        <v>42248</v>
      </c>
      <c r="C83" s="37">
        <v>33333</v>
      </c>
      <c r="D83" s="26"/>
      <c r="E83" s="26">
        <v>14936</v>
      </c>
      <c r="F83" s="42">
        <f t="shared" si="24"/>
        <v>48269</v>
      </c>
      <c r="G83" s="37">
        <v>183</v>
      </c>
      <c r="H83" s="26"/>
      <c r="I83" s="26">
        <v>394</v>
      </c>
      <c r="J83" s="515">
        <f t="shared" si="25"/>
        <v>577</v>
      </c>
      <c r="K83" s="32"/>
      <c r="L83" s="32"/>
      <c r="M83" s="32"/>
      <c r="N83" s="32"/>
      <c r="O83" s="32"/>
      <c r="P83" s="32"/>
      <c r="Q83" s="32"/>
      <c r="R83" s="32"/>
      <c r="S83" s="17"/>
      <c r="T83" s="17"/>
      <c r="W83" s="15"/>
      <c r="X83" s="15"/>
      <c r="Y83" s="382"/>
      <c r="Z83" s="15"/>
      <c r="AA83" s="15"/>
      <c r="AB83" s="107"/>
      <c r="AC83" s="15"/>
      <c r="AD83" s="269"/>
      <c r="AE83" s="109"/>
      <c r="AF83" s="10"/>
      <c r="AG83" s="10"/>
      <c r="AJ83" s="15"/>
      <c r="AK83" s="10"/>
    </row>
    <row r="84" spans="1:37" s="377" customFormat="1" x14ac:dyDescent="0.25">
      <c r="A84" s="365">
        <f t="shared" si="12"/>
        <v>1</v>
      </c>
      <c r="B84" s="226">
        <v>42278</v>
      </c>
      <c r="C84" s="37">
        <v>32011</v>
      </c>
      <c r="D84" s="26"/>
      <c r="E84" s="26">
        <v>14444</v>
      </c>
      <c r="F84" s="42">
        <f>SUM(C84:E84)</f>
        <v>46455</v>
      </c>
      <c r="G84" s="37">
        <v>167</v>
      </c>
      <c r="H84" s="26"/>
      <c r="I84" s="26">
        <v>405</v>
      </c>
      <c r="J84" s="515">
        <f t="shared" si="25"/>
        <v>572</v>
      </c>
      <c r="K84" s="32"/>
      <c r="L84" s="32"/>
      <c r="M84" s="32"/>
      <c r="N84" s="32"/>
      <c r="O84" s="32"/>
      <c r="P84" s="32"/>
      <c r="Q84" s="32"/>
      <c r="R84" s="32"/>
      <c r="S84" s="17"/>
      <c r="T84" s="17"/>
      <c r="U84" s="394"/>
      <c r="W84" s="15"/>
      <c r="X84" s="15"/>
      <c r="Y84" s="382"/>
      <c r="Z84" s="15"/>
      <c r="AA84" s="15"/>
      <c r="AB84" s="107"/>
      <c r="AC84" s="15"/>
      <c r="AD84" s="269"/>
      <c r="AE84" s="109"/>
      <c r="AF84" s="10"/>
      <c r="AG84" s="10"/>
      <c r="AJ84" s="15"/>
      <c r="AK84" s="10"/>
    </row>
    <row r="85" spans="1:37" s="377" customFormat="1" x14ac:dyDescent="0.25">
      <c r="A85" s="365">
        <f t="shared" si="12"/>
        <v>1</v>
      </c>
      <c r="B85" s="226">
        <v>42309</v>
      </c>
      <c r="C85" s="37">
        <v>31821</v>
      </c>
      <c r="D85" s="26"/>
      <c r="E85" s="26">
        <v>14212</v>
      </c>
      <c r="F85" s="42">
        <f t="shared" si="24"/>
        <v>46033</v>
      </c>
      <c r="G85" s="37">
        <v>192</v>
      </c>
      <c r="H85" s="26"/>
      <c r="I85" s="26">
        <v>449</v>
      </c>
      <c r="J85" s="515">
        <f t="shared" si="25"/>
        <v>641</v>
      </c>
      <c r="K85" s="32"/>
      <c r="L85" s="32"/>
      <c r="M85" s="32"/>
      <c r="N85" s="32"/>
      <c r="O85" s="32"/>
      <c r="P85" s="32"/>
      <c r="Q85" s="32"/>
      <c r="R85" s="32"/>
      <c r="S85" s="17"/>
      <c r="T85" s="17"/>
      <c r="W85" s="15"/>
      <c r="X85" s="15"/>
      <c r="Y85" s="382"/>
      <c r="Z85" s="15"/>
      <c r="AA85" s="15"/>
      <c r="AB85" s="107"/>
      <c r="AC85" s="15"/>
      <c r="AD85" s="269"/>
      <c r="AE85" s="109"/>
      <c r="AF85" s="10"/>
      <c r="AG85" s="10"/>
      <c r="AJ85" s="15"/>
      <c r="AK85" s="10"/>
    </row>
    <row r="86" spans="1:37" s="377" customFormat="1" x14ac:dyDescent="0.25">
      <c r="A86" s="365">
        <f t="shared" si="12"/>
        <v>1</v>
      </c>
      <c r="B86" s="226">
        <v>42339</v>
      </c>
      <c r="C86" s="37">
        <v>32921</v>
      </c>
      <c r="D86" s="26"/>
      <c r="E86" s="26">
        <v>14908</v>
      </c>
      <c r="F86" s="42">
        <f t="shared" si="24"/>
        <v>47829</v>
      </c>
      <c r="G86" s="37">
        <v>187</v>
      </c>
      <c r="H86" s="26"/>
      <c r="I86" s="26">
        <v>472</v>
      </c>
      <c r="J86" s="515">
        <f t="shared" si="25"/>
        <v>659</v>
      </c>
      <c r="K86" s="32"/>
      <c r="L86" s="32"/>
      <c r="M86" s="32"/>
      <c r="N86" s="32"/>
      <c r="O86" s="32"/>
      <c r="P86" s="32"/>
      <c r="Q86" s="32"/>
      <c r="R86" s="32"/>
      <c r="S86" s="17"/>
      <c r="T86" s="17"/>
      <c r="W86" s="15"/>
      <c r="X86" s="15"/>
      <c r="Y86" s="382"/>
      <c r="Z86" s="15"/>
      <c r="AA86" s="15"/>
      <c r="AB86" s="107"/>
      <c r="AC86" s="15"/>
      <c r="AD86" s="269"/>
      <c r="AE86" s="109"/>
      <c r="AF86" s="10"/>
      <c r="AG86" s="10"/>
      <c r="AJ86" s="15"/>
      <c r="AK86" s="10"/>
    </row>
    <row r="87" spans="1:37" s="377" customFormat="1" x14ac:dyDescent="0.25">
      <c r="A87" s="365">
        <f t="shared" si="12"/>
        <v>1</v>
      </c>
      <c r="B87" s="226">
        <v>42370</v>
      </c>
      <c r="C87" s="37">
        <v>34658</v>
      </c>
      <c r="D87" s="26"/>
      <c r="E87" s="26">
        <v>16036</v>
      </c>
      <c r="F87" s="42">
        <f t="shared" si="24"/>
        <v>50694</v>
      </c>
      <c r="G87" s="37">
        <v>205</v>
      </c>
      <c r="H87" s="26"/>
      <c r="I87" s="26">
        <v>506</v>
      </c>
      <c r="J87" s="515">
        <f t="shared" si="25"/>
        <v>711</v>
      </c>
      <c r="K87" s="32"/>
      <c r="L87" s="32"/>
      <c r="M87" s="32"/>
      <c r="N87" s="32"/>
      <c r="O87" s="32"/>
      <c r="P87" s="32"/>
      <c r="Q87" s="32"/>
      <c r="R87" s="32"/>
      <c r="S87" s="17"/>
      <c r="T87" s="17"/>
      <c r="W87" s="15"/>
      <c r="X87" s="15"/>
      <c r="Y87" s="382"/>
      <c r="Z87" s="15"/>
      <c r="AA87" s="15"/>
      <c r="AB87" s="107"/>
      <c r="AC87" s="15"/>
      <c r="AD87" s="269"/>
      <c r="AE87" s="109"/>
      <c r="AF87" s="10"/>
      <c r="AG87" s="10"/>
      <c r="AJ87" s="15"/>
      <c r="AK87" s="10"/>
    </row>
    <row r="88" spans="1:37" s="377" customFormat="1" x14ac:dyDescent="0.25">
      <c r="A88" s="365">
        <f t="shared" si="12"/>
        <v>1</v>
      </c>
      <c r="B88" s="226">
        <v>42401</v>
      </c>
      <c r="C88" s="37">
        <v>35557</v>
      </c>
      <c r="D88" s="26"/>
      <c r="E88" s="26">
        <v>16728</v>
      </c>
      <c r="F88" s="42">
        <f t="shared" si="24"/>
        <v>52285</v>
      </c>
      <c r="G88" s="37">
        <v>202</v>
      </c>
      <c r="H88" s="26"/>
      <c r="I88" s="26">
        <v>515</v>
      </c>
      <c r="J88" s="515">
        <f t="shared" si="25"/>
        <v>717</v>
      </c>
      <c r="K88" s="32"/>
      <c r="L88" s="32"/>
      <c r="M88" s="32"/>
      <c r="N88" s="32"/>
      <c r="O88" s="32"/>
      <c r="P88" s="32"/>
      <c r="Q88" s="32"/>
      <c r="R88" s="32"/>
      <c r="S88" s="17"/>
      <c r="T88" s="17"/>
      <c r="W88" s="15"/>
      <c r="X88" s="15"/>
      <c r="Y88" s="382"/>
      <c r="Z88" s="15"/>
      <c r="AA88" s="15"/>
      <c r="AB88" s="107"/>
      <c r="AC88" s="15"/>
      <c r="AD88" s="269"/>
      <c r="AE88" s="109"/>
      <c r="AF88" s="10"/>
      <c r="AG88" s="10"/>
      <c r="AJ88" s="15"/>
      <c r="AK88" s="10"/>
    </row>
    <row r="89" spans="1:37" s="377" customFormat="1" x14ac:dyDescent="0.25">
      <c r="A89" s="365">
        <f t="shared" si="12"/>
        <v>1</v>
      </c>
      <c r="B89" s="226">
        <v>42430</v>
      </c>
      <c r="C89" s="37">
        <v>36075</v>
      </c>
      <c r="D89" s="26"/>
      <c r="E89" s="26">
        <v>17257</v>
      </c>
      <c r="F89" s="42">
        <f t="shared" si="24"/>
        <v>53332</v>
      </c>
      <c r="G89" s="37">
        <v>196</v>
      </c>
      <c r="H89" s="26"/>
      <c r="I89" s="26">
        <v>529</v>
      </c>
      <c r="J89" s="515">
        <f t="shared" si="25"/>
        <v>725</v>
      </c>
      <c r="K89" s="32"/>
      <c r="L89" s="32"/>
      <c r="M89" s="32"/>
      <c r="N89" s="32"/>
      <c r="O89" s="32"/>
      <c r="P89" s="32"/>
      <c r="Q89" s="32"/>
      <c r="R89" s="32"/>
      <c r="S89" s="17"/>
      <c r="T89" s="17"/>
      <c r="W89" s="15"/>
      <c r="X89" s="15"/>
      <c r="Y89" s="382"/>
      <c r="Z89" s="15"/>
      <c r="AA89" s="15"/>
      <c r="AB89" s="107"/>
      <c r="AC89" s="15"/>
      <c r="AD89" s="269"/>
      <c r="AE89" s="109"/>
      <c r="AF89" s="10"/>
      <c r="AG89" s="10"/>
      <c r="AJ89" s="15"/>
      <c r="AK89" s="10"/>
    </row>
    <row r="90" spans="1:37" s="377" customFormat="1" x14ac:dyDescent="0.25">
      <c r="A90" s="365">
        <f t="shared" si="12"/>
        <v>1</v>
      </c>
      <c r="B90" s="226">
        <v>42461</v>
      </c>
      <c r="C90" s="37">
        <v>37075</v>
      </c>
      <c r="D90" s="26"/>
      <c r="E90" s="26">
        <v>17763</v>
      </c>
      <c r="F90" s="42">
        <f t="shared" si="24"/>
        <v>54838</v>
      </c>
      <c r="G90" s="37">
        <v>212</v>
      </c>
      <c r="H90" s="26"/>
      <c r="I90" s="26">
        <v>519</v>
      </c>
      <c r="J90" s="515">
        <f t="shared" si="25"/>
        <v>731</v>
      </c>
      <c r="K90" s="32"/>
      <c r="L90" s="32"/>
      <c r="M90" s="32"/>
      <c r="N90" s="32"/>
      <c r="O90" s="32"/>
      <c r="P90" s="32"/>
      <c r="Q90" s="32"/>
      <c r="R90" s="32"/>
      <c r="S90" s="17"/>
      <c r="T90" s="17"/>
      <c r="W90" s="15"/>
      <c r="X90" s="15"/>
      <c r="Y90" s="382"/>
      <c r="Z90" s="15"/>
      <c r="AA90" s="15"/>
      <c r="AB90" s="107"/>
      <c r="AC90" s="15"/>
      <c r="AD90" s="269"/>
      <c r="AE90" s="109"/>
      <c r="AF90" s="10"/>
      <c r="AG90" s="10"/>
      <c r="AJ90" s="15"/>
      <c r="AK90" s="10"/>
    </row>
    <row r="91" spans="1:37" s="377" customFormat="1" x14ac:dyDescent="0.25">
      <c r="A91" s="365">
        <f t="shared" si="12"/>
        <v>1</v>
      </c>
      <c r="B91" s="226">
        <v>42491</v>
      </c>
      <c r="C91" s="37">
        <v>38019</v>
      </c>
      <c r="D91" s="26"/>
      <c r="E91" s="26">
        <v>18204</v>
      </c>
      <c r="F91" s="42">
        <f t="shared" si="24"/>
        <v>56223</v>
      </c>
      <c r="G91" s="37">
        <v>225</v>
      </c>
      <c r="H91" s="26"/>
      <c r="I91" s="26">
        <v>515</v>
      </c>
      <c r="J91" s="515">
        <f t="shared" si="25"/>
        <v>740</v>
      </c>
      <c r="K91" s="32"/>
      <c r="L91" s="32"/>
      <c r="M91" s="32"/>
      <c r="N91" s="32"/>
      <c r="O91" s="32"/>
      <c r="P91" s="32"/>
      <c r="Q91" s="32"/>
      <c r="R91" s="32"/>
      <c r="S91" s="17"/>
      <c r="T91" s="17"/>
      <c r="W91" s="15"/>
      <c r="X91" s="15"/>
      <c r="Y91" s="382"/>
      <c r="Z91" s="15"/>
      <c r="AA91" s="15"/>
      <c r="AB91" s="107"/>
      <c r="AC91" s="15"/>
      <c r="AD91" s="269"/>
      <c r="AE91" s="109"/>
      <c r="AF91" s="10"/>
      <c r="AG91" s="10"/>
      <c r="AJ91" s="15"/>
      <c r="AK91" s="10"/>
    </row>
    <row r="92" spans="1:37" s="377" customFormat="1" x14ac:dyDescent="0.25">
      <c r="A92" s="365">
        <f t="shared" si="12"/>
        <v>1</v>
      </c>
      <c r="B92" s="226">
        <v>42522</v>
      </c>
      <c r="C92" s="37">
        <v>38938</v>
      </c>
      <c r="D92" s="26"/>
      <c r="E92" s="26">
        <v>18568</v>
      </c>
      <c r="F92" s="42">
        <f t="shared" si="24"/>
        <v>57506</v>
      </c>
      <c r="G92" s="37">
        <v>220</v>
      </c>
      <c r="H92" s="26"/>
      <c r="I92" s="26">
        <v>514</v>
      </c>
      <c r="J92" s="515">
        <f t="shared" si="25"/>
        <v>734</v>
      </c>
      <c r="K92" s="32"/>
      <c r="L92" s="32"/>
      <c r="M92" s="32"/>
      <c r="N92" s="32"/>
      <c r="O92" s="32"/>
      <c r="P92" s="32"/>
      <c r="Q92" s="32"/>
      <c r="R92" s="32"/>
      <c r="S92" s="17"/>
      <c r="T92" s="17"/>
      <c r="W92" s="15"/>
      <c r="X92" s="15"/>
      <c r="Y92" s="382"/>
      <c r="Z92" s="15"/>
      <c r="AA92" s="15"/>
      <c r="AB92" s="107"/>
      <c r="AC92" s="15"/>
      <c r="AD92" s="269"/>
      <c r="AE92" s="109"/>
      <c r="AF92" s="10"/>
      <c r="AG92" s="10"/>
      <c r="AJ92" s="15"/>
      <c r="AK92" s="10"/>
    </row>
    <row r="93" spans="1:37" s="461" customFormat="1" x14ac:dyDescent="0.25">
      <c r="A93" s="365">
        <f t="shared" si="12"/>
        <v>1</v>
      </c>
      <c r="B93" s="230" t="s">
        <v>297</v>
      </c>
      <c r="C93" s="46">
        <f>ROUND(AVERAGE(C81:C92),0)</f>
        <v>34940</v>
      </c>
      <c r="D93" s="47"/>
      <c r="E93" s="47">
        <f t="shared" ref="E93:I93" si="26">ROUND(AVERAGE(E81:E92),0)</f>
        <v>16100</v>
      </c>
      <c r="F93" s="47">
        <f>ROUND(AVERAGE(F81:F92),0)</f>
        <v>51041</v>
      </c>
      <c r="G93" s="46">
        <f t="shared" si="26"/>
        <v>199</v>
      </c>
      <c r="H93" s="46" t="e">
        <f t="shared" si="26"/>
        <v>#DIV/0!</v>
      </c>
      <c r="I93" s="47">
        <f t="shared" si="26"/>
        <v>469</v>
      </c>
      <c r="J93" s="513">
        <f>ROUND(AVERAGE(J81:J92),0)</f>
        <v>668</v>
      </c>
      <c r="K93" s="32"/>
      <c r="L93" s="32"/>
      <c r="M93" s="32"/>
      <c r="N93" s="32"/>
      <c r="O93" s="32"/>
      <c r="P93" s="32"/>
      <c r="Q93" s="32"/>
      <c r="R93" s="32"/>
      <c r="S93" s="17"/>
      <c r="T93" s="17"/>
      <c r="W93" s="15"/>
      <c r="X93" s="15"/>
      <c r="Y93" s="382"/>
      <c r="Z93" s="15"/>
      <c r="AA93" s="15"/>
      <c r="AB93" s="107"/>
      <c r="AC93" s="15"/>
      <c r="AD93" s="269"/>
      <c r="AE93" s="109"/>
      <c r="AF93" s="10"/>
      <c r="AG93" s="10"/>
      <c r="AJ93" s="15"/>
      <c r="AK93" s="10"/>
    </row>
    <row r="94" spans="1:37" s="461" customFormat="1" x14ac:dyDescent="0.25">
      <c r="A94" s="365">
        <f t="shared" si="12"/>
        <v>1</v>
      </c>
      <c r="B94" s="226">
        <v>42552</v>
      </c>
      <c r="C94" s="37">
        <v>39962</v>
      </c>
      <c r="D94" s="26"/>
      <c r="E94" s="26">
        <v>18968</v>
      </c>
      <c r="F94" s="42">
        <f t="shared" ref="F94:F104" si="27">SUM(C94:E94)</f>
        <v>58930</v>
      </c>
      <c r="G94" s="37">
        <v>227</v>
      </c>
      <c r="H94" s="26"/>
      <c r="I94" s="26">
        <v>509</v>
      </c>
      <c r="J94" s="515">
        <f t="shared" ref="J94:J112" si="28">SUM(G94:I94)</f>
        <v>736</v>
      </c>
      <c r="K94" s="32"/>
      <c r="L94" s="32"/>
      <c r="M94" s="32"/>
      <c r="N94" s="32"/>
      <c r="O94" s="32"/>
      <c r="P94" s="32"/>
      <c r="Q94" s="32"/>
      <c r="R94" s="32"/>
      <c r="S94" s="17"/>
      <c r="T94" s="17"/>
      <c r="W94" s="15"/>
      <c r="X94" s="15"/>
      <c r="Y94" s="382"/>
      <c r="Z94" s="15"/>
      <c r="AA94" s="15"/>
      <c r="AB94" s="107"/>
      <c r="AC94" s="15"/>
      <c r="AD94" s="269"/>
      <c r="AE94" s="109"/>
      <c r="AF94" s="10"/>
      <c r="AG94" s="10"/>
      <c r="AJ94" s="15"/>
      <c r="AK94" s="10"/>
    </row>
    <row r="95" spans="1:37" s="461" customFormat="1" x14ac:dyDescent="0.25">
      <c r="A95" s="365">
        <f t="shared" si="12"/>
        <v>1</v>
      </c>
      <c r="B95" s="226">
        <v>42583</v>
      </c>
      <c r="C95" s="37">
        <v>41345</v>
      </c>
      <c r="D95" s="26"/>
      <c r="E95" s="26">
        <v>19419</v>
      </c>
      <c r="F95" s="42">
        <f t="shared" si="27"/>
        <v>60764</v>
      </c>
      <c r="G95" s="37">
        <v>200</v>
      </c>
      <c r="H95" s="26"/>
      <c r="I95" s="26">
        <v>497</v>
      </c>
      <c r="J95" s="515">
        <f t="shared" si="28"/>
        <v>697</v>
      </c>
      <c r="K95" s="32"/>
      <c r="L95" s="32"/>
      <c r="M95" s="32"/>
      <c r="N95" s="32"/>
      <c r="O95" s="32"/>
      <c r="P95" s="32"/>
      <c r="Q95" s="32"/>
      <c r="R95" s="32"/>
      <c r="S95" s="17"/>
      <c r="T95" s="17"/>
      <c r="W95" s="15"/>
      <c r="X95" s="15"/>
      <c r="Y95" s="382"/>
      <c r="Z95" s="15"/>
      <c r="AA95" s="15"/>
      <c r="AB95" s="107"/>
      <c r="AC95" s="15"/>
      <c r="AD95" s="269"/>
      <c r="AE95" s="109"/>
      <c r="AF95" s="10"/>
      <c r="AG95" s="10"/>
      <c r="AJ95" s="15"/>
      <c r="AK95" s="10"/>
    </row>
    <row r="96" spans="1:37" s="461" customFormat="1" x14ac:dyDescent="0.25">
      <c r="A96" s="365">
        <f t="shared" si="12"/>
        <v>1</v>
      </c>
      <c r="B96" s="226">
        <v>42614</v>
      </c>
      <c r="C96" s="37">
        <v>41419</v>
      </c>
      <c r="D96" s="26"/>
      <c r="E96" s="26">
        <v>19945</v>
      </c>
      <c r="F96" s="42">
        <f t="shared" si="27"/>
        <v>61364</v>
      </c>
      <c r="G96" s="37">
        <v>199</v>
      </c>
      <c r="H96" s="26"/>
      <c r="I96" s="26">
        <v>477</v>
      </c>
      <c r="J96" s="515">
        <f t="shared" si="28"/>
        <v>676</v>
      </c>
      <c r="K96" s="32"/>
      <c r="L96" s="32"/>
      <c r="M96" s="32"/>
      <c r="N96" s="32"/>
      <c r="O96" s="32"/>
      <c r="P96" s="32"/>
      <c r="Q96" s="32"/>
      <c r="R96" s="32"/>
      <c r="S96" s="17"/>
      <c r="T96" s="17"/>
      <c r="W96" s="15"/>
      <c r="X96" s="15"/>
      <c r="Y96" s="382"/>
      <c r="Z96" s="15"/>
      <c r="AA96" s="15"/>
      <c r="AB96" s="107"/>
      <c r="AC96" s="15"/>
      <c r="AD96" s="269"/>
      <c r="AE96" s="109"/>
      <c r="AF96" s="10"/>
      <c r="AG96" s="10"/>
      <c r="AJ96" s="15"/>
      <c r="AK96" s="10"/>
    </row>
    <row r="97" spans="1:37" s="461" customFormat="1" x14ac:dyDescent="0.25">
      <c r="A97" s="365">
        <f t="shared" si="12"/>
        <v>1</v>
      </c>
      <c r="B97" s="226">
        <v>42644</v>
      </c>
      <c r="C97" s="37">
        <v>40987</v>
      </c>
      <c r="D97" s="26"/>
      <c r="E97" s="26">
        <v>19751</v>
      </c>
      <c r="F97" s="42">
        <f t="shared" si="27"/>
        <v>60738</v>
      </c>
      <c r="G97" s="37">
        <v>205</v>
      </c>
      <c r="H97" s="26"/>
      <c r="I97" s="26">
        <v>443</v>
      </c>
      <c r="J97" s="515">
        <f t="shared" si="28"/>
        <v>648</v>
      </c>
      <c r="K97" s="32"/>
      <c r="L97" s="32"/>
      <c r="M97" s="32"/>
      <c r="N97" s="32"/>
      <c r="O97" s="32"/>
      <c r="P97" s="32"/>
      <c r="Q97" s="32"/>
      <c r="R97" s="32"/>
      <c r="S97" s="17"/>
      <c r="T97" s="17"/>
      <c r="W97" s="15"/>
      <c r="X97" s="15"/>
      <c r="Y97" s="382"/>
      <c r="Z97" s="15"/>
      <c r="AA97" s="15"/>
      <c r="AB97" s="107"/>
      <c r="AC97" s="15"/>
      <c r="AD97" s="269"/>
      <c r="AE97" s="109"/>
      <c r="AF97" s="10"/>
      <c r="AG97" s="10"/>
      <c r="AJ97" s="15"/>
      <c r="AK97" s="10"/>
    </row>
    <row r="98" spans="1:37" s="461" customFormat="1" x14ac:dyDescent="0.25">
      <c r="A98" s="365">
        <f t="shared" si="12"/>
        <v>1</v>
      </c>
      <c r="B98" s="226">
        <v>42675</v>
      </c>
      <c r="C98" s="37">
        <v>40451</v>
      </c>
      <c r="D98" s="26"/>
      <c r="E98" s="26">
        <v>19205</v>
      </c>
      <c r="F98" s="42">
        <f t="shared" si="27"/>
        <v>59656</v>
      </c>
      <c r="G98" s="37">
        <v>202</v>
      </c>
      <c r="H98" s="26"/>
      <c r="I98" s="26">
        <v>464</v>
      </c>
      <c r="J98" s="515">
        <f t="shared" si="28"/>
        <v>666</v>
      </c>
      <c r="K98" s="32"/>
      <c r="L98" s="32"/>
      <c r="M98" s="32"/>
      <c r="N98" s="32"/>
      <c r="O98" s="32"/>
      <c r="P98" s="32"/>
      <c r="Q98" s="32"/>
      <c r="R98" s="32"/>
      <c r="S98" s="17"/>
      <c r="T98" s="17"/>
      <c r="W98" s="15"/>
      <c r="X98" s="15"/>
      <c r="Y98" s="382"/>
      <c r="Z98" s="15"/>
      <c r="AA98" s="15"/>
      <c r="AB98" s="107"/>
      <c r="AC98" s="15"/>
      <c r="AD98" s="269"/>
      <c r="AE98" s="109"/>
      <c r="AF98" s="10"/>
      <c r="AG98" s="10"/>
      <c r="AJ98" s="15"/>
      <c r="AK98" s="10"/>
    </row>
    <row r="99" spans="1:37" s="461" customFormat="1" x14ac:dyDescent="0.25">
      <c r="A99" s="365">
        <f t="shared" si="12"/>
        <v>1</v>
      </c>
      <c r="B99" s="226">
        <v>42705</v>
      </c>
      <c r="C99" s="37">
        <v>41974</v>
      </c>
      <c r="D99" s="26"/>
      <c r="E99" s="26">
        <v>19860</v>
      </c>
      <c r="F99" s="42">
        <f t="shared" si="27"/>
        <v>61834</v>
      </c>
      <c r="G99" s="37">
        <v>199</v>
      </c>
      <c r="H99" s="26"/>
      <c r="I99" s="26">
        <v>494</v>
      </c>
      <c r="J99" s="515">
        <f t="shared" si="28"/>
        <v>693</v>
      </c>
      <c r="K99" s="32"/>
      <c r="L99" s="32"/>
      <c r="M99" s="32"/>
      <c r="N99" s="32"/>
      <c r="O99" s="32"/>
      <c r="P99" s="32"/>
      <c r="Q99" s="32"/>
      <c r="R99" s="32"/>
      <c r="S99" s="17"/>
      <c r="T99" s="17"/>
      <c r="W99" s="15"/>
      <c r="X99" s="15"/>
      <c r="Y99" s="382"/>
      <c r="Z99" s="15"/>
      <c r="AA99" s="15"/>
      <c r="AB99" s="107"/>
      <c r="AC99" s="15"/>
      <c r="AD99" s="269"/>
      <c r="AE99" s="109"/>
      <c r="AF99" s="10"/>
      <c r="AG99" s="10"/>
      <c r="AJ99" s="15"/>
      <c r="AK99" s="10"/>
    </row>
    <row r="100" spans="1:37" s="461" customFormat="1" x14ac:dyDescent="0.25">
      <c r="A100" s="365">
        <f t="shared" si="12"/>
        <v>1</v>
      </c>
      <c r="B100" s="226">
        <v>42736</v>
      </c>
      <c r="C100" s="37">
        <v>42653</v>
      </c>
      <c r="D100" s="26"/>
      <c r="E100" s="26">
        <v>20732</v>
      </c>
      <c r="F100" s="42">
        <f t="shared" si="27"/>
        <v>63385</v>
      </c>
      <c r="G100" s="37">
        <v>204</v>
      </c>
      <c r="H100" s="26"/>
      <c r="I100" s="26">
        <v>510</v>
      </c>
      <c r="J100" s="515">
        <f t="shared" si="28"/>
        <v>714</v>
      </c>
      <c r="K100" s="32"/>
      <c r="L100" s="32"/>
      <c r="M100" s="32"/>
      <c r="N100" s="32"/>
      <c r="O100" s="32"/>
      <c r="P100" s="32"/>
      <c r="Q100" s="32"/>
      <c r="R100" s="32"/>
      <c r="S100" s="17"/>
      <c r="T100" s="17"/>
      <c r="W100" s="15"/>
      <c r="X100" s="15"/>
      <c r="Y100" s="382"/>
      <c r="Z100" s="15"/>
      <c r="AA100" s="15"/>
      <c r="AB100" s="107"/>
      <c r="AC100" s="15"/>
      <c r="AD100" s="269"/>
      <c r="AE100" s="109"/>
      <c r="AF100" s="10"/>
      <c r="AG100" s="10"/>
      <c r="AJ100" s="15"/>
      <c r="AK100" s="10"/>
    </row>
    <row r="101" spans="1:37" s="461" customFormat="1" x14ac:dyDescent="0.25">
      <c r="A101" s="365">
        <f t="shared" si="12"/>
        <v>1</v>
      </c>
      <c r="B101" s="226">
        <v>42767</v>
      </c>
      <c r="C101" s="37">
        <v>43074</v>
      </c>
      <c r="D101" s="26"/>
      <c r="E101" s="26">
        <v>21191</v>
      </c>
      <c r="F101" s="42">
        <f t="shared" si="27"/>
        <v>64265</v>
      </c>
      <c r="G101" s="37">
        <v>208</v>
      </c>
      <c r="H101" s="26"/>
      <c r="I101" s="26">
        <v>498</v>
      </c>
      <c r="J101" s="515">
        <f t="shared" si="28"/>
        <v>706</v>
      </c>
      <c r="K101" s="32"/>
      <c r="L101" s="32"/>
      <c r="M101" s="32"/>
      <c r="N101" s="32"/>
      <c r="O101" s="32"/>
      <c r="P101" s="32"/>
      <c r="Q101" s="32"/>
      <c r="R101" s="32"/>
      <c r="S101" s="17"/>
      <c r="T101" s="17"/>
      <c r="W101" s="15"/>
      <c r="X101" s="15"/>
      <c r="Y101" s="382"/>
      <c r="Z101" s="15"/>
      <c r="AA101" s="15"/>
      <c r="AB101" s="107"/>
      <c r="AC101" s="15"/>
      <c r="AD101" s="269"/>
      <c r="AE101" s="109"/>
      <c r="AF101" s="10"/>
      <c r="AG101" s="10"/>
      <c r="AJ101" s="15"/>
      <c r="AK101" s="10"/>
    </row>
    <row r="102" spans="1:37" s="461" customFormat="1" x14ac:dyDescent="0.25">
      <c r="A102" s="365">
        <f t="shared" si="12"/>
        <v>1</v>
      </c>
      <c r="B102" s="226">
        <v>42795</v>
      </c>
      <c r="C102" s="37">
        <v>47726</v>
      </c>
      <c r="D102" s="26"/>
      <c r="E102" s="26">
        <v>23839</v>
      </c>
      <c r="F102" s="42">
        <f t="shared" si="27"/>
        <v>71565</v>
      </c>
      <c r="G102" s="37">
        <v>248</v>
      </c>
      <c r="H102" s="26"/>
      <c r="I102" s="26">
        <v>523</v>
      </c>
      <c r="J102" s="515">
        <f t="shared" si="28"/>
        <v>771</v>
      </c>
      <c r="K102" s="32"/>
      <c r="L102" s="32"/>
      <c r="M102" s="32"/>
      <c r="N102" s="32"/>
      <c r="O102" s="32"/>
      <c r="P102" s="32"/>
      <c r="Q102" s="32"/>
      <c r="R102" s="32"/>
      <c r="S102" s="17"/>
      <c r="T102" s="17"/>
      <c r="W102" s="15"/>
      <c r="X102" s="15"/>
      <c r="Y102" s="382"/>
      <c r="Z102" s="15"/>
      <c r="AA102" s="15"/>
      <c r="AB102" s="107"/>
      <c r="AC102" s="15"/>
      <c r="AD102" s="269"/>
      <c r="AE102" s="109"/>
      <c r="AF102" s="10"/>
      <c r="AG102" s="10"/>
      <c r="AJ102" s="15"/>
      <c r="AK102" s="10"/>
    </row>
    <row r="103" spans="1:37" s="461" customFormat="1" x14ac:dyDescent="0.25">
      <c r="A103" s="365">
        <f t="shared" si="12"/>
        <v>1</v>
      </c>
      <c r="B103" s="226">
        <v>42826</v>
      </c>
      <c r="C103" s="37">
        <v>49020</v>
      </c>
      <c r="D103" s="26"/>
      <c r="E103" s="26">
        <v>24052</v>
      </c>
      <c r="F103" s="42">
        <f t="shared" si="27"/>
        <v>73072</v>
      </c>
      <c r="G103" s="37">
        <v>261</v>
      </c>
      <c r="H103" s="26"/>
      <c r="I103" s="26">
        <v>515</v>
      </c>
      <c r="J103" s="515">
        <f t="shared" si="28"/>
        <v>776</v>
      </c>
      <c r="K103" s="32"/>
      <c r="L103" s="32"/>
      <c r="M103" s="32"/>
      <c r="N103" s="32"/>
      <c r="O103" s="32"/>
      <c r="P103" s="32"/>
      <c r="Q103" s="32"/>
      <c r="R103" s="32"/>
      <c r="S103" s="17"/>
      <c r="T103" s="17"/>
      <c r="W103" s="15"/>
      <c r="X103" s="15"/>
      <c r="Y103" s="382"/>
      <c r="Z103" s="15"/>
      <c r="AA103" s="15"/>
      <c r="AB103" s="107"/>
      <c r="AC103" s="15"/>
      <c r="AD103" s="269"/>
      <c r="AE103" s="109"/>
      <c r="AF103" s="10"/>
      <c r="AG103" s="10"/>
      <c r="AJ103" s="15"/>
      <c r="AK103" s="10"/>
    </row>
    <row r="104" spans="1:37" s="461" customFormat="1" x14ac:dyDescent="0.25">
      <c r="A104" s="365">
        <f t="shared" si="12"/>
        <v>1</v>
      </c>
      <c r="B104" s="226">
        <v>42856</v>
      </c>
      <c r="C104" s="37">
        <v>49447</v>
      </c>
      <c r="D104" s="26"/>
      <c r="E104" s="26">
        <v>24214</v>
      </c>
      <c r="F104" s="42">
        <f t="shared" si="27"/>
        <v>73661</v>
      </c>
      <c r="G104" s="37">
        <v>276</v>
      </c>
      <c r="H104" s="26"/>
      <c r="I104" s="26">
        <v>502</v>
      </c>
      <c r="J104" s="515">
        <f t="shared" si="28"/>
        <v>778</v>
      </c>
      <c r="K104" s="32"/>
      <c r="L104" s="32"/>
      <c r="M104" s="32"/>
      <c r="N104" s="32"/>
      <c r="O104" s="32"/>
      <c r="P104" s="32"/>
      <c r="Q104" s="32"/>
      <c r="R104" s="32"/>
      <c r="S104" s="17"/>
      <c r="T104" s="17"/>
      <c r="W104" s="15"/>
      <c r="X104" s="15"/>
      <c r="Y104" s="382"/>
      <c r="Z104" s="15"/>
      <c r="AA104" s="15"/>
      <c r="AB104" s="107"/>
      <c r="AC104" s="15"/>
      <c r="AD104" s="269"/>
      <c r="AE104" s="109"/>
      <c r="AF104" s="10"/>
      <c r="AG104" s="10"/>
      <c r="AJ104" s="15"/>
      <c r="AK104" s="10"/>
    </row>
    <row r="105" spans="1:37" s="461" customFormat="1" x14ac:dyDescent="0.25">
      <c r="A105" s="365">
        <f t="shared" si="12"/>
        <v>1</v>
      </c>
      <c r="B105" s="226">
        <v>42887</v>
      </c>
      <c r="C105" s="37">
        <v>49587</v>
      </c>
      <c r="D105" s="26"/>
      <c r="E105" s="26">
        <v>24293</v>
      </c>
      <c r="F105" s="42">
        <f>SUM(C105:E105)</f>
        <v>73880</v>
      </c>
      <c r="G105" s="37">
        <v>275</v>
      </c>
      <c r="H105" s="26"/>
      <c r="I105" s="26">
        <v>486</v>
      </c>
      <c r="J105" s="515">
        <f t="shared" si="28"/>
        <v>761</v>
      </c>
      <c r="K105" s="32"/>
      <c r="L105" s="32"/>
      <c r="M105" s="32"/>
      <c r="N105" s="32"/>
      <c r="O105" s="32"/>
      <c r="P105" s="32"/>
      <c r="Q105" s="32"/>
      <c r="R105" s="32"/>
      <c r="S105" s="17"/>
      <c r="T105" s="17"/>
      <c r="W105" s="15"/>
      <c r="X105" s="15"/>
      <c r="Y105" s="382"/>
      <c r="Z105" s="15"/>
      <c r="AA105" s="15"/>
      <c r="AB105" s="107"/>
      <c r="AC105" s="15"/>
      <c r="AD105" s="269"/>
      <c r="AE105" s="109"/>
      <c r="AF105" s="10"/>
      <c r="AG105" s="10"/>
      <c r="AJ105" s="15"/>
      <c r="AK105" s="10"/>
    </row>
    <row r="106" spans="1:37" s="461" customFormat="1" x14ac:dyDescent="0.25">
      <c r="A106" s="365">
        <f t="shared" si="12"/>
        <v>1</v>
      </c>
      <c r="B106" s="230" t="s">
        <v>342</v>
      </c>
      <c r="C106" s="46">
        <f>ROUND(AVERAGE(C94:C105),0)</f>
        <v>43970</v>
      </c>
      <c r="D106" s="47"/>
      <c r="E106" s="47">
        <f t="shared" ref="E106:I106" si="29">ROUND(AVERAGE(E94:E105),0)</f>
        <v>21289</v>
      </c>
      <c r="F106" s="47">
        <f>ROUND(AVERAGE(F94:F105),0)</f>
        <v>65260</v>
      </c>
      <c r="G106" s="46">
        <f t="shared" si="29"/>
        <v>225</v>
      </c>
      <c r="H106" s="46" t="e">
        <f t="shared" si="29"/>
        <v>#DIV/0!</v>
      </c>
      <c r="I106" s="47">
        <f t="shared" si="29"/>
        <v>493</v>
      </c>
      <c r="J106" s="513">
        <f>ROUND(AVERAGE(J94:J105),0)</f>
        <v>719</v>
      </c>
      <c r="K106" s="32"/>
      <c r="L106" s="32"/>
      <c r="M106" s="32"/>
      <c r="N106" s="32"/>
      <c r="O106" s="32"/>
      <c r="P106" s="32"/>
      <c r="Q106" s="32"/>
      <c r="R106" s="32"/>
      <c r="S106" s="17"/>
      <c r="T106" s="17"/>
      <c r="W106" s="15"/>
      <c r="X106" s="15"/>
      <c r="Y106" s="382"/>
      <c r="Z106" s="15"/>
      <c r="AA106" s="15"/>
      <c r="AB106" s="107"/>
      <c r="AC106" s="15"/>
      <c r="AD106" s="269"/>
      <c r="AE106" s="109"/>
      <c r="AF106" s="10"/>
      <c r="AG106" s="10"/>
      <c r="AJ106" s="15"/>
      <c r="AK106" s="10"/>
    </row>
    <row r="107" spans="1:37" s="461" customFormat="1" x14ac:dyDescent="0.25">
      <c r="A107" s="365">
        <f t="shared" si="12"/>
        <v>1</v>
      </c>
      <c r="B107" s="226">
        <v>42917</v>
      </c>
      <c r="C107" s="37">
        <v>50236</v>
      </c>
      <c r="D107" s="26"/>
      <c r="E107" s="26">
        <v>24236</v>
      </c>
      <c r="F107" s="42">
        <f t="shared" ref="F107:F112" si="30">SUM(C107:E107)</f>
        <v>74472</v>
      </c>
      <c r="G107" s="37">
        <v>279</v>
      </c>
      <c r="H107" s="26"/>
      <c r="I107" s="26">
        <v>503</v>
      </c>
      <c r="J107" s="515">
        <f t="shared" si="28"/>
        <v>782</v>
      </c>
      <c r="K107" s="32"/>
      <c r="L107" s="32"/>
      <c r="M107" s="32"/>
      <c r="N107" s="32"/>
      <c r="O107" s="32"/>
      <c r="P107" s="32"/>
      <c r="Q107" s="32"/>
      <c r="R107" s="32"/>
      <c r="S107" s="17"/>
      <c r="T107" s="17"/>
      <c r="W107" s="15"/>
      <c r="X107" s="15"/>
      <c r="Y107" s="382"/>
      <c r="Z107" s="15"/>
      <c r="AA107" s="15"/>
      <c r="AB107" s="107"/>
      <c r="AC107" s="15"/>
      <c r="AD107" s="269"/>
      <c r="AE107" s="109"/>
      <c r="AF107" s="10"/>
      <c r="AG107" s="10"/>
      <c r="AJ107" s="15"/>
      <c r="AK107" s="10"/>
    </row>
    <row r="108" spans="1:37" s="461" customFormat="1" x14ac:dyDescent="0.25">
      <c r="A108" s="365">
        <f t="shared" si="12"/>
        <v>1</v>
      </c>
      <c r="B108" s="226">
        <v>42948</v>
      </c>
      <c r="C108" s="37">
        <v>50635</v>
      </c>
      <c r="D108" s="26"/>
      <c r="E108" s="26">
        <v>24652</v>
      </c>
      <c r="F108" s="42">
        <f t="shared" si="30"/>
        <v>75287</v>
      </c>
      <c r="G108" s="37">
        <v>279</v>
      </c>
      <c r="H108" s="26"/>
      <c r="I108" s="26">
        <v>509</v>
      </c>
      <c r="J108" s="515">
        <f t="shared" si="28"/>
        <v>788</v>
      </c>
      <c r="K108" s="32"/>
      <c r="L108" s="32"/>
      <c r="M108" s="32"/>
      <c r="N108" s="32"/>
      <c r="O108" s="32"/>
      <c r="P108" s="32"/>
      <c r="Q108" s="32"/>
      <c r="R108" s="32"/>
      <c r="S108" s="17"/>
      <c r="T108" s="17"/>
      <c r="W108" s="15"/>
      <c r="X108" s="15"/>
      <c r="Y108" s="382"/>
      <c r="Z108" s="15"/>
      <c r="AA108" s="15"/>
      <c r="AB108" s="107"/>
      <c r="AC108" s="15"/>
      <c r="AD108" s="269"/>
      <c r="AE108" s="109"/>
      <c r="AF108" s="10"/>
      <c r="AG108" s="10"/>
      <c r="AJ108" s="15"/>
      <c r="AK108" s="10"/>
    </row>
    <row r="109" spans="1:37" s="461" customFormat="1" x14ac:dyDescent="0.25">
      <c r="A109" s="365">
        <f t="shared" si="12"/>
        <v>1</v>
      </c>
      <c r="B109" s="226">
        <v>42979</v>
      </c>
      <c r="C109" s="37">
        <v>49863</v>
      </c>
      <c r="D109" s="26"/>
      <c r="E109" s="26">
        <v>24686</v>
      </c>
      <c r="F109" s="42">
        <f t="shared" si="30"/>
        <v>74549</v>
      </c>
      <c r="G109" s="37">
        <v>273</v>
      </c>
      <c r="H109" s="26"/>
      <c r="I109" s="26">
        <v>512</v>
      </c>
      <c r="J109" s="515">
        <f t="shared" si="28"/>
        <v>785</v>
      </c>
      <c r="K109" s="32"/>
      <c r="L109" s="32"/>
      <c r="M109" s="32"/>
      <c r="N109" s="32"/>
      <c r="O109" s="32"/>
      <c r="P109" s="32"/>
      <c r="Q109" s="32"/>
      <c r="R109" s="32"/>
      <c r="S109" s="17"/>
      <c r="T109" s="17"/>
      <c r="W109" s="15"/>
      <c r="X109" s="15"/>
      <c r="Y109" s="382"/>
      <c r="Z109" s="15"/>
      <c r="AA109" s="15"/>
      <c r="AB109" s="107"/>
      <c r="AC109" s="15"/>
      <c r="AD109" s="269"/>
      <c r="AE109" s="109"/>
      <c r="AF109" s="10"/>
      <c r="AG109" s="10"/>
      <c r="AJ109" s="15"/>
      <c r="AK109" s="10"/>
    </row>
    <row r="110" spans="1:37" s="461" customFormat="1" x14ac:dyDescent="0.25">
      <c r="A110" s="365">
        <f t="shared" si="12"/>
        <v>1</v>
      </c>
      <c r="B110" s="226">
        <v>43009</v>
      </c>
      <c r="C110" s="37">
        <v>49855</v>
      </c>
      <c r="D110" s="26"/>
      <c r="E110" s="26">
        <v>25018</v>
      </c>
      <c r="F110" s="42">
        <f t="shared" si="30"/>
        <v>74873</v>
      </c>
      <c r="G110" s="37">
        <v>275</v>
      </c>
      <c r="H110" s="26"/>
      <c r="I110" s="26">
        <v>523</v>
      </c>
      <c r="J110" s="515">
        <f t="shared" si="28"/>
        <v>798</v>
      </c>
      <c r="K110" s="32"/>
      <c r="L110" s="32"/>
      <c r="M110" s="32"/>
      <c r="N110" s="32"/>
      <c r="O110" s="32"/>
      <c r="P110" s="32"/>
      <c r="Q110" s="32"/>
      <c r="R110" s="32"/>
      <c r="S110" s="17"/>
      <c r="T110" s="17"/>
      <c r="W110" s="15"/>
      <c r="X110" s="15"/>
      <c r="Y110" s="382"/>
      <c r="Z110" s="15"/>
      <c r="AA110" s="15"/>
      <c r="AB110" s="107"/>
      <c r="AC110" s="15"/>
      <c r="AD110" s="269"/>
      <c r="AE110" s="109"/>
      <c r="AF110" s="10"/>
      <c r="AG110" s="10"/>
      <c r="AJ110" s="15"/>
      <c r="AK110" s="10"/>
    </row>
    <row r="111" spans="1:37" s="461" customFormat="1" x14ac:dyDescent="0.25">
      <c r="A111" s="365">
        <f t="shared" si="12"/>
        <v>1</v>
      </c>
      <c r="B111" s="226">
        <v>43040</v>
      </c>
      <c r="C111" s="37">
        <v>50032</v>
      </c>
      <c r="D111" s="26"/>
      <c r="E111" s="26">
        <v>25301</v>
      </c>
      <c r="F111" s="42">
        <f t="shared" si="30"/>
        <v>75333</v>
      </c>
      <c r="G111" s="37">
        <v>277</v>
      </c>
      <c r="H111" s="26"/>
      <c r="I111" s="26">
        <v>565</v>
      </c>
      <c r="J111" s="515">
        <f t="shared" si="28"/>
        <v>842</v>
      </c>
      <c r="K111" s="32"/>
      <c r="L111" s="32"/>
      <c r="M111" s="32"/>
      <c r="N111" s="32"/>
      <c r="O111" s="32"/>
      <c r="P111" s="32"/>
      <c r="Q111" s="32"/>
      <c r="R111" s="32"/>
      <c r="S111" s="17"/>
      <c r="T111" s="17"/>
      <c r="W111" s="15"/>
      <c r="X111" s="15"/>
      <c r="Y111" s="382"/>
      <c r="Z111" s="15"/>
      <c r="AA111" s="15"/>
      <c r="AB111" s="107"/>
      <c r="AC111" s="15"/>
      <c r="AD111" s="269"/>
      <c r="AE111" s="109"/>
      <c r="AF111" s="10"/>
      <c r="AG111" s="10"/>
      <c r="AJ111" s="15"/>
      <c r="AK111" s="10"/>
    </row>
    <row r="112" spans="1:37" s="461" customFormat="1" x14ac:dyDescent="0.25">
      <c r="A112" s="365">
        <f t="shared" si="12"/>
        <v>1</v>
      </c>
      <c r="B112" s="226">
        <v>43070</v>
      </c>
      <c r="C112" s="37">
        <v>50276</v>
      </c>
      <c r="D112" s="26"/>
      <c r="E112" s="26">
        <v>24999</v>
      </c>
      <c r="F112" s="42">
        <f t="shared" si="30"/>
        <v>75275</v>
      </c>
      <c r="G112" s="37">
        <v>294</v>
      </c>
      <c r="H112" s="26"/>
      <c r="I112" s="26">
        <v>568</v>
      </c>
      <c r="J112" s="515">
        <f t="shared" si="28"/>
        <v>862</v>
      </c>
      <c r="K112" s="32"/>
      <c r="L112" s="32"/>
      <c r="M112" s="32"/>
      <c r="N112" s="32"/>
      <c r="O112" s="32"/>
      <c r="P112" s="32"/>
      <c r="Q112" s="32"/>
      <c r="R112" s="32"/>
      <c r="S112" s="17"/>
      <c r="T112" s="17"/>
      <c r="W112" s="15"/>
      <c r="X112" s="15"/>
      <c r="Y112" s="382"/>
      <c r="Z112" s="15"/>
      <c r="AA112" s="15"/>
      <c r="AB112" s="107"/>
      <c r="AC112" s="15"/>
      <c r="AD112" s="269"/>
      <c r="AE112" s="109"/>
      <c r="AF112" s="10"/>
      <c r="AG112" s="10"/>
      <c r="AJ112" s="15"/>
      <c r="AK112" s="10"/>
    </row>
    <row r="113" spans="1:37" s="461" customFormat="1" x14ac:dyDescent="0.25">
      <c r="A113" s="365">
        <f t="shared" si="12"/>
        <v>0</v>
      </c>
      <c r="B113" s="226">
        <v>43101</v>
      </c>
      <c r="C113" s="37"/>
      <c r="D113" s="26"/>
      <c r="E113" s="26"/>
      <c r="F113" s="42"/>
      <c r="G113" s="37"/>
      <c r="H113" s="26"/>
      <c r="I113" s="26"/>
      <c r="J113" s="515"/>
      <c r="K113" s="32"/>
      <c r="L113" s="32"/>
      <c r="M113" s="32"/>
      <c r="N113" s="32"/>
      <c r="O113" s="32"/>
      <c r="P113" s="32"/>
      <c r="Q113" s="32"/>
      <c r="R113" s="32"/>
      <c r="S113" s="17"/>
      <c r="T113" s="17"/>
      <c r="W113" s="15"/>
      <c r="X113" s="15"/>
      <c r="Y113" s="382"/>
      <c r="Z113" s="15"/>
      <c r="AA113" s="15"/>
      <c r="AB113" s="107"/>
      <c r="AC113" s="15"/>
      <c r="AD113" s="269"/>
      <c r="AE113" s="109"/>
      <c r="AF113" s="10"/>
      <c r="AG113" s="10"/>
      <c r="AJ113" s="15"/>
      <c r="AK113" s="10"/>
    </row>
    <row r="114" spans="1:37" s="461" customFormat="1" x14ac:dyDescent="0.25">
      <c r="A114" s="365">
        <f t="shared" si="12"/>
        <v>0</v>
      </c>
      <c r="B114" s="226">
        <v>43132</v>
      </c>
      <c r="C114" s="37"/>
      <c r="D114" s="26"/>
      <c r="E114" s="26"/>
      <c r="F114" s="42"/>
      <c r="G114" s="37"/>
      <c r="H114" s="26"/>
      <c r="I114" s="26"/>
      <c r="J114" s="515"/>
      <c r="K114" s="32"/>
      <c r="L114" s="32"/>
      <c r="M114" s="32"/>
      <c r="N114" s="32"/>
      <c r="O114" s="32"/>
      <c r="P114" s="32"/>
      <c r="Q114" s="32"/>
      <c r="R114" s="32"/>
      <c r="S114" s="17"/>
      <c r="T114" s="17"/>
      <c r="W114" s="15"/>
      <c r="X114" s="15"/>
      <c r="Y114" s="382"/>
      <c r="Z114" s="15"/>
      <c r="AA114" s="15"/>
      <c r="AB114" s="107"/>
      <c r="AC114" s="15"/>
      <c r="AD114" s="269"/>
      <c r="AE114" s="109"/>
      <c r="AF114" s="10"/>
      <c r="AG114" s="10"/>
      <c r="AJ114" s="15"/>
      <c r="AK114" s="10"/>
    </row>
    <row r="115" spans="1:37" s="461" customFormat="1" x14ac:dyDescent="0.25">
      <c r="A115" s="365">
        <f t="shared" si="12"/>
        <v>0</v>
      </c>
      <c r="B115" s="226">
        <v>43160</v>
      </c>
      <c r="C115" s="37"/>
      <c r="D115" s="26"/>
      <c r="E115" s="26"/>
      <c r="F115" s="42"/>
      <c r="G115" s="37"/>
      <c r="H115" s="26"/>
      <c r="I115" s="26"/>
      <c r="J115" s="515"/>
      <c r="K115" s="32"/>
      <c r="L115" s="32"/>
      <c r="M115" s="32"/>
      <c r="N115" s="32"/>
      <c r="O115" s="32"/>
      <c r="P115" s="32"/>
      <c r="Q115" s="32"/>
      <c r="R115" s="32"/>
      <c r="S115" s="17"/>
      <c r="T115" s="17"/>
      <c r="W115" s="15"/>
      <c r="X115" s="15"/>
      <c r="Y115" s="382"/>
      <c r="Z115" s="15"/>
      <c r="AA115" s="15"/>
      <c r="AB115" s="107"/>
      <c r="AC115" s="15"/>
      <c r="AD115" s="269"/>
      <c r="AE115" s="109"/>
      <c r="AF115" s="10"/>
      <c r="AG115" s="10"/>
      <c r="AJ115" s="15"/>
      <c r="AK115" s="10"/>
    </row>
    <row r="116" spans="1:37" s="461" customFormat="1" x14ac:dyDescent="0.25">
      <c r="A116" s="365">
        <f t="shared" si="12"/>
        <v>0</v>
      </c>
      <c r="B116" s="226">
        <v>43191</v>
      </c>
      <c r="C116" s="37"/>
      <c r="D116" s="26"/>
      <c r="E116" s="26"/>
      <c r="F116" s="42"/>
      <c r="G116" s="37"/>
      <c r="H116" s="26"/>
      <c r="I116" s="26"/>
      <c r="J116" s="515"/>
      <c r="K116" s="32"/>
      <c r="L116" s="32"/>
      <c r="M116" s="32"/>
      <c r="N116" s="32"/>
      <c r="O116" s="32"/>
      <c r="P116" s="32"/>
      <c r="Q116" s="32"/>
      <c r="R116" s="32"/>
      <c r="S116" s="17"/>
      <c r="T116" s="17"/>
      <c r="W116" s="15"/>
      <c r="X116" s="15"/>
      <c r="Y116" s="382"/>
      <c r="Z116" s="15"/>
      <c r="AA116" s="15"/>
      <c r="AB116" s="107"/>
      <c r="AC116" s="15"/>
      <c r="AD116" s="269"/>
      <c r="AE116" s="109"/>
      <c r="AF116" s="10"/>
      <c r="AG116" s="10"/>
      <c r="AJ116" s="15"/>
      <c r="AK116" s="10"/>
    </row>
    <row r="117" spans="1:37" s="461" customFormat="1" x14ac:dyDescent="0.25">
      <c r="A117" s="365">
        <f t="shared" si="12"/>
        <v>0</v>
      </c>
      <c r="B117" s="226">
        <v>43221</v>
      </c>
      <c r="C117" s="37"/>
      <c r="D117" s="26"/>
      <c r="E117" s="26"/>
      <c r="F117" s="42"/>
      <c r="G117" s="37"/>
      <c r="H117" s="26"/>
      <c r="I117" s="26"/>
      <c r="J117" s="515"/>
      <c r="K117" s="32"/>
      <c r="L117" s="32"/>
      <c r="M117" s="32"/>
      <c r="N117" s="32"/>
      <c r="O117" s="32"/>
      <c r="P117" s="32"/>
      <c r="Q117" s="32"/>
      <c r="R117" s="32"/>
      <c r="S117" s="17"/>
      <c r="T117" s="17"/>
      <c r="W117" s="15"/>
      <c r="X117" s="15"/>
      <c r="Y117" s="382"/>
      <c r="Z117" s="15"/>
      <c r="AA117" s="15"/>
      <c r="AB117" s="107"/>
      <c r="AC117" s="15"/>
      <c r="AD117" s="269"/>
      <c r="AE117" s="109"/>
      <c r="AF117" s="10"/>
      <c r="AG117" s="10"/>
      <c r="AJ117" s="15"/>
      <c r="AK117" s="10"/>
    </row>
    <row r="118" spans="1:37" s="461" customFormat="1" x14ac:dyDescent="0.25">
      <c r="A118" s="365">
        <f t="shared" si="12"/>
        <v>0</v>
      </c>
      <c r="B118" s="226">
        <v>43252</v>
      </c>
      <c r="C118" s="37"/>
      <c r="D118" s="26"/>
      <c r="E118" s="26"/>
      <c r="F118" s="42"/>
      <c r="G118" s="37"/>
      <c r="H118" s="26"/>
      <c r="I118" s="26"/>
      <c r="J118" s="515"/>
      <c r="K118" s="32"/>
      <c r="L118" s="32"/>
      <c r="M118" s="32"/>
      <c r="N118" s="32"/>
      <c r="O118" s="32"/>
      <c r="P118" s="32"/>
      <c r="Q118" s="32"/>
      <c r="R118" s="32"/>
      <c r="S118" s="17"/>
      <c r="T118" s="17"/>
      <c r="W118" s="15"/>
      <c r="X118" s="15"/>
      <c r="Y118" s="382"/>
      <c r="Z118" s="15"/>
      <c r="AA118" s="15"/>
      <c r="AB118" s="107"/>
      <c r="AC118" s="15"/>
      <c r="AD118" s="269"/>
      <c r="AE118" s="109"/>
      <c r="AF118" s="10"/>
      <c r="AG118" s="10"/>
      <c r="AJ118" s="15"/>
      <c r="AK118" s="10"/>
    </row>
    <row r="119" spans="1:37" s="377" customFormat="1" x14ac:dyDescent="0.25">
      <c r="A119" s="365">
        <f t="shared" si="12"/>
        <v>0</v>
      </c>
      <c r="B119" s="226"/>
      <c r="C119" s="37"/>
      <c r="D119" s="26"/>
      <c r="E119" s="26"/>
      <c r="F119" s="42"/>
      <c r="G119" s="37"/>
      <c r="H119" s="26"/>
      <c r="I119" s="26"/>
      <c r="J119" s="515"/>
      <c r="K119" s="32"/>
      <c r="L119" s="32"/>
      <c r="M119" s="32"/>
      <c r="N119" s="32"/>
      <c r="O119" s="32"/>
      <c r="P119" s="32"/>
      <c r="Q119" s="32"/>
      <c r="R119" s="32"/>
      <c r="S119" s="17"/>
      <c r="T119" s="17"/>
      <c r="W119" s="15"/>
      <c r="X119" s="15"/>
      <c r="Y119" s="382"/>
      <c r="Z119" s="15"/>
      <c r="AA119" s="15"/>
      <c r="AB119" s="107"/>
      <c r="AC119" s="15"/>
      <c r="AD119" s="269"/>
      <c r="AE119" s="109"/>
      <c r="AF119" s="10"/>
      <c r="AG119" s="10"/>
      <c r="AJ119" s="15"/>
      <c r="AK119" s="10"/>
    </row>
    <row r="120" spans="1:37" x14ac:dyDescent="0.25">
      <c r="B120" s="234" t="s">
        <v>325</v>
      </c>
      <c r="C120" s="35">
        <f>+AVERAGE(C107:C118)</f>
        <v>50149.5</v>
      </c>
      <c r="D120" s="36" t="e">
        <f t="shared" ref="D120:H120" si="31">+AVERAGE(D94:D105)</f>
        <v>#DIV/0!</v>
      </c>
      <c r="E120" s="36">
        <f>+AVERAGE(E107:E118)</f>
        <v>24815.333333333332</v>
      </c>
      <c r="F120" s="52">
        <f>+AVERAGE(F107:F118)</f>
        <v>74964.833333333328</v>
      </c>
      <c r="G120" s="35">
        <f>+AVERAGE(G107:G118)</f>
        <v>279.5</v>
      </c>
      <c r="H120" s="36" t="e">
        <f t="shared" si="31"/>
        <v>#DIV/0!</v>
      </c>
      <c r="I120" s="36">
        <f>+AVERAGE(I107:I118)</f>
        <v>530</v>
      </c>
      <c r="J120" s="516">
        <f>+AVERAGE(J107:J118)</f>
        <v>809.5</v>
      </c>
      <c r="K120" s="36"/>
      <c r="L120" s="36"/>
      <c r="M120" s="36"/>
      <c r="N120" s="36"/>
      <c r="O120" s="36"/>
      <c r="P120" s="36"/>
      <c r="Q120" s="36"/>
      <c r="R120" s="36"/>
      <c r="AB120" s="107"/>
      <c r="AD120" s="32"/>
      <c r="AE120" s="109"/>
      <c r="AF120" s="10"/>
      <c r="AG120" s="10"/>
      <c r="AH120" s="15"/>
      <c r="AI120" s="15"/>
      <c r="AK120" s="10"/>
    </row>
    <row r="121" spans="1:37" s="150" customFormat="1" ht="15.75" customHeight="1" x14ac:dyDescent="0.25">
      <c r="B121" s="234" t="s">
        <v>326</v>
      </c>
      <c r="C121" s="37">
        <v>46934</v>
      </c>
      <c r="D121" s="26"/>
      <c r="E121" s="26">
        <v>22077</v>
      </c>
      <c r="F121" s="42">
        <v>69011</v>
      </c>
      <c r="G121" s="37">
        <v>243</v>
      </c>
      <c r="H121" s="26"/>
      <c r="I121" s="26">
        <v>549</v>
      </c>
      <c r="J121" s="515">
        <v>792</v>
      </c>
      <c r="K121" s="36"/>
      <c r="L121" s="36"/>
      <c r="M121" s="36"/>
      <c r="N121" s="36"/>
      <c r="O121" s="36"/>
      <c r="P121" s="36"/>
      <c r="Q121" s="36"/>
      <c r="R121" s="36"/>
      <c r="AB121" s="151"/>
      <c r="AD121" s="26"/>
      <c r="AE121" s="152"/>
      <c r="AF121" s="153"/>
      <c r="AG121" s="153"/>
      <c r="AH121" s="154"/>
      <c r="AI121" s="154"/>
      <c r="AK121" s="153"/>
    </row>
    <row r="122" spans="1:37" x14ac:dyDescent="0.25">
      <c r="B122" s="236" t="s">
        <v>18</v>
      </c>
      <c r="C122" s="37">
        <f t="array" ref="C122">IF(TEXT(MAX(IF($A$107:$A$118=1,$B$107:$B$118)),"mmmm")="July",C107-C105,INDEX(C$107:C$118,MATCH(TEXT(MAX(IF($A$107:$A$118=1,$B$107:$B$118)),"mmmm"),TEXT($B$107:$B$118,"mmmm"),0))-INDEX(C$107:C$118,MATCH(TEXT(MAX(IF($A$107:$A$118=1,$B$107:$B$118)),"mmmm"),TEXT($B$107:$B$118,"mmmm"),0)-1))</f>
        <v>244</v>
      </c>
      <c r="D122" s="26">
        <f t="array" ref="D122">IF(TEXT(MAX(IF($A$107:$A$118=1,$B$107:$B$118)),"mmmm")="July",D107-D105,INDEX(D$107:D$118,MATCH(TEXT(MAX(IF($A$107:$A$118=1,$B$107:$B$118)),"mmmm"),TEXT($B$107:$B$118,"mmmm"),0))-INDEX(D$107:D$118,MATCH(TEXT(MAX(IF($A$107:$A$118=1,$B$107:$B$118)),"mmmm"),TEXT($B$107:$B$118,"mmmm"),0)-1))</f>
        <v>0</v>
      </c>
      <c r="E122" s="26">
        <f t="array" ref="E122">IF(TEXT(MAX(IF($A$107:$A$118=1,$B$107:$B$118)),"mmmm")="July",E107-E105,INDEX(E$107:E$118,MATCH(TEXT(MAX(IF($A$107:$A$118=1,$B$107:$B$118)),"mmmm"),TEXT($B$107:$B$118,"mmmm"),0))-INDEX(E$107:E$118,MATCH(TEXT(MAX(IF($A$107:$A$118=1,$B$107:$B$118)),"mmmm"),TEXT($B$107:$B$118,"mmmm"),0)-1))</f>
        <v>-302</v>
      </c>
      <c r="F122" s="42">
        <f t="array" ref="F122">IF(TEXT(MAX(IF($A$107:$A$118=1,$B$107:$B$118)),"mmmm")="July",F107-F105,INDEX(F$107:F$118,MATCH(TEXT(MAX(IF($A$107:$A$118=1,$B$107:$B$118)),"mmmm"),TEXT($B$107:$B$118,"mmmm"),0))-INDEX(F$107:F$118,MATCH(TEXT(MAX(IF($A$107:$A$118=1,$B$107:$B$118)),"mmmm"),TEXT($B$107:$B$118,"mmmm"),0)-1))</f>
        <v>-58</v>
      </c>
      <c r="G122" s="37">
        <f t="array" ref="G122">IF(TEXT(MAX(IF($A$107:$A$118=1,$B$107:$B$118)),"mmmm")="July",G107-G105,INDEX(G$107:G$118,MATCH(TEXT(MAX(IF($A$107:$A$118=1,$B$107:$B$118)),"mmmm"),TEXT($B$107:$B$118,"mmmm"),0))-INDEX(G$107:G$118,MATCH(TEXT(MAX(IF($A$107:$A$118=1,$B$107:$B$118)),"mmmm"),TEXT($B$107:$B$118,"mmmm"),0)-1))</f>
        <v>17</v>
      </c>
      <c r="H122" s="26">
        <f t="array" ref="H122">IF(TEXT(MAX(IF($A$107:$A$118=1,$B$107:$B$118)),"mmmm")="July",H107-H105,INDEX(H$107:H$118,MATCH(TEXT(MAX(IF($A$107:$A$118=1,$B$107:$B$118)),"mmmm"),TEXT($B$107:$B$118,"mmmm"),0))-INDEX(H$107:H$118,MATCH(TEXT(MAX(IF($A$107:$A$118=1,$B$107:$B$118)),"mmmm"),TEXT($B$107:$B$118,"mmmm"),0)-1))</f>
        <v>0</v>
      </c>
      <c r="I122" s="26">
        <f t="array" ref="I122">IF(TEXT(MAX(IF($A$107:$A$118=1,$B$107:$B$118)),"mmmm")="July",I107-I105,INDEX(I$107:I$118,MATCH(TEXT(MAX(IF($A$107:$A$118=1,$B$107:$B$118)),"mmmm"),TEXT($B$107:$B$118,"mmmm"),0))-INDEX(I$107:I$118,MATCH(TEXT(MAX(IF($A$107:$A$118=1,$B$107:$B$118)),"mmmm"),TEXT($B$107:$B$118,"mmmm"),0)-1))</f>
        <v>3</v>
      </c>
      <c r="J122" s="515">
        <f t="array" ref="J122">IF(TEXT(MAX(IF($A$107:$A$118=1,$B$107:$B$118)),"mmmm")="July",J107-J105,INDEX(J$107:J$118,MATCH(TEXT(MAX(IF($A$107:$A$118=1,$B$107:$B$118)),"mmmm"),TEXT($B$107:$B$118,"mmmm"),0))-INDEX(J$107:J$118,MATCH(TEXT(MAX(IF($A$107:$A$118=1,$B$107:$B$118)),"mmmm"),TEXT($B$107:$B$118,"mmmm"),0)-1))</f>
        <v>20</v>
      </c>
      <c r="K122" s="26"/>
      <c r="L122" s="26"/>
      <c r="M122" s="26"/>
      <c r="N122" s="26"/>
      <c r="O122" s="26"/>
      <c r="P122" s="26"/>
      <c r="Q122" s="26"/>
      <c r="R122" s="26"/>
      <c r="AB122" s="107"/>
      <c r="AD122" s="32"/>
      <c r="AE122" s="109"/>
      <c r="AF122" s="10"/>
      <c r="AG122" s="10"/>
      <c r="AH122" s="15"/>
      <c r="AI122" s="15"/>
      <c r="AK122" s="10"/>
    </row>
    <row r="123" spans="1:37" x14ac:dyDescent="0.25">
      <c r="B123" s="236" t="s">
        <v>21</v>
      </c>
      <c r="C123" s="53">
        <f t="array" ref="C123">IF(TEXT(MAX(IF($A$107:$A$118=1,$B$107:$B$118)),"mmmm")="July",C122/C105,C122/INDEX(C$107:C$118,MATCH(TEXT(MAX(IF($A$107:$A$118=1,$B$107:$B$118)),"mmmm"),TEXT($B$107:$B$118,"mmmm"),0)-1))</f>
        <v>4.8768787975695558E-3</v>
      </c>
      <c r="D123" s="27" t="e">
        <f t="array" ref="D123">IF(TEXT(MAX(IF($A$107:$A$118=1,$B$107:$B$118)),"mmmm")="July",D122/D105,D122/INDEX(D$107:D$118,MATCH(TEXT(MAX(IF($A$107:$A$118=1,$B$107:$B$118)),"mmmm"),TEXT($B$107:$B$118,"mmmm"),0)-1))</f>
        <v>#DIV/0!</v>
      </c>
      <c r="E123" s="27">
        <f t="array" ref="E123">IF(TEXT(MAX(IF($A$107:$A$118=1,$B$107:$B$118)),"mmmm")="July",E122/E105,E122/INDEX(E$107:E$118,MATCH(TEXT(MAX(IF($A$107:$A$118=1,$B$107:$B$118)),"mmmm"),TEXT($B$107:$B$118,"mmmm"),0)-1))</f>
        <v>-1.1936287103276551E-2</v>
      </c>
      <c r="F123" s="51">
        <f t="array" ref="F123">IF(TEXT(MAX(IF($A$107:$A$118=1,$B$107:$B$118)),"mmmm")="July",F122/F105,F122/INDEX(F$107:F$118,MATCH(TEXT(MAX(IF($A$107:$A$118=1,$B$107:$B$118)),"mmmm"),TEXT($B$107:$B$118,"mmmm"),0)-1))</f>
        <v>-7.6991491112792529E-4</v>
      </c>
      <c r="G123" s="53">
        <f t="array" ref="G123">IF(TEXT(MAX(IF($A$107:$A$118=1,$B$107:$B$118)),"mmmm")="July",G122/G105,G122/INDEX(G$107:G$118,MATCH(TEXT(MAX(IF($A$107:$A$118=1,$B$107:$B$118)),"mmmm"),TEXT($B$107:$B$118,"mmmm"),0)-1))</f>
        <v>6.1371841155234655E-2</v>
      </c>
      <c r="H123" s="27" t="e">
        <f t="array" ref="H123">IF(TEXT(MAX(IF($A$107:$A$118=1,$B$107:$B$118)),"mmmm")="July",H122/H105,H122/INDEX(H$107:H$118,MATCH(TEXT(MAX(IF($A$107:$A$118=1,$B$107:$B$118)),"mmmm"),TEXT($B$107:$B$118,"mmmm"),0)-1))</f>
        <v>#DIV/0!</v>
      </c>
      <c r="I123" s="27">
        <f t="array" ref="I123">IF(TEXT(MAX(IF($A$107:$A$118=1,$B$107:$B$118)),"mmmm")="July",I122/I105,I122/INDEX(I$107:I$118,MATCH(TEXT(MAX(IF($A$107:$A$118=1,$B$107:$B$118)),"mmmm"),TEXT($B$107:$B$118,"mmmm"),0)-1))</f>
        <v>5.3097345132743362E-3</v>
      </c>
      <c r="J123" s="517">
        <f t="array" ref="J123">IF(TEXT(MAX(IF($A$107:$A$118=1,$B$107:$B$118)),"mmmm")="July",J122/J105,J122/INDEX(J$107:J$118,MATCH(TEXT(MAX(IF($A$107:$A$118=1,$B$107:$B$118)),"mmmm"),TEXT($B$107:$B$118,"mmmm"),0)-1))</f>
        <v>2.3752969121140142E-2</v>
      </c>
      <c r="K123" s="27"/>
      <c r="L123" s="27"/>
      <c r="M123" s="27"/>
      <c r="N123" s="27"/>
      <c r="O123" s="27"/>
      <c r="P123" s="27"/>
      <c r="Q123" s="27"/>
      <c r="R123" s="27"/>
      <c r="AB123" s="16"/>
    </row>
    <row r="124" spans="1:37" x14ac:dyDescent="0.25">
      <c r="B124" s="236" t="s">
        <v>36</v>
      </c>
      <c r="C124" s="37">
        <f t="array" ref="C124">INDEX(C$107:C$118,MATCH(TEXT(MAX(IF($A$107:$A$118=1,$B$107:$B$118)),"mmmm"),TEXT($B$107:$B$118,"mmmm"),0))-INDEX(C$94:C$105,MATCH(TEXT(MAX(IF($A$107:$A$118=1,$B$107:$B$118)),"mmmm"),TEXT($B$94:$B$105,"mmmm"),0))</f>
        <v>8302</v>
      </c>
      <c r="D124" s="26">
        <f t="array" ref="D124">INDEX(D$107:D$118,MATCH(TEXT(MAX(IF($A$107:$A$118=1,$B$107:$B$118)),"mmmm"),TEXT($B$107:$B$118,"mmmm"),0))-INDEX(D$94:D$105,MATCH(TEXT(MAX(IF($A$107:$A$118=1,$B$107:$B$118)),"mmmm"),TEXT($B$94:$B$105,"mmmm"),0))</f>
        <v>0</v>
      </c>
      <c r="E124" s="26">
        <f t="array" ref="E124">INDEX(E$107:E$118,MATCH(TEXT(MAX(IF($A$107:$A$118=1,$B$107:$B$118)),"mmmm"),TEXT($B$107:$B$118,"mmmm"),0))-INDEX(E$94:E$105,MATCH(TEXT(MAX(IF($A$107:$A$118=1,$B$107:$B$118)),"mmmm"),TEXT($B$94:$B$105,"mmmm"),0))</f>
        <v>5139</v>
      </c>
      <c r="F124" s="42">
        <f t="array" ref="F124">INDEX(F$107:F$118,MATCH(TEXT(MAX(IF($A$107:$A$118=1,$B$107:$B$118)),"mmmm"),TEXT($B$107:$B$118,"mmmm"),0))-INDEX(F$94:F$105,MATCH(TEXT(MAX(IF($A$107:$A$118=1,$B$107:$B$118)),"mmmm"),TEXT($B$94:$B$105,"mmmm"),0))</f>
        <v>13441</v>
      </c>
      <c r="G124" s="37">
        <f t="array" ref="G124">INDEX(G$107:G$118,MATCH(TEXT(MAX(IF($A$107:$A$118=1,$B$107:$B$118)),"mmmm"),TEXT($B$107:$B$118,"mmmm"),0))-INDEX(G$94:G$105,MATCH(TEXT(MAX(IF($A$107:$A$118=1,$B$107:$B$118)),"mmmm"),TEXT($B$94:$B$105,"mmmm"),0))</f>
        <v>95</v>
      </c>
      <c r="H124" s="26">
        <f t="array" ref="H124">INDEX(H$107:H$118,MATCH(TEXT(MAX(IF($A$107:$A$118=1,$B$107:$B$118)),"mmmm"),TEXT($B$107:$B$118,"mmmm"),0))-INDEX(H$94:H$105,MATCH(TEXT(MAX(IF($A$107:$A$118=1,$B$107:$B$118)),"mmmm"),TEXT($B$94:$B$105,"mmmm"),0))</f>
        <v>0</v>
      </c>
      <c r="I124" s="26">
        <f t="array" ref="I124">INDEX(I$107:I$118,MATCH(TEXT(MAX(IF($A$107:$A$118=1,$B$107:$B$118)),"mmmm"),TEXT($B$107:$B$118,"mmmm"),0))-INDEX(I$94:I$105,MATCH(TEXT(MAX(IF($A$107:$A$118=1,$B$107:$B$118)),"mmmm"),TEXT($B$94:$B$105,"mmmm"),0))</f>
        <v>74</v>
      </c>
      <c r="J124" s="515">
        <f t="array" ref="J124">INDEX(J$107:J$118,MATCH(TEXT(MAX(IF($A$107:$A$118=1,$B$107:$B$118)),"mmmm"),TEXT($B$107:$B$118,"mmmm"),0))-INDEX(J$94:J$105,MATCH(TEXT(MAX(IF($A$107:$A$118=1,$B$107:$B$118)),"mmmm"),TEXT($B$94:$B$105,"mmmm"),0))</f>
        <v>169</v>
      </c>
      <c r="K124" s="26"/>
      <c r="L124" s="26"/>
      <c r="M124" s="26"/>
      <c r="N124" s="26"/>
      <c r="O124" s="26"/>
      <c r="P124" s="26"/>
      <c r="Q124" s="26"/>
      <c r="R124" s="26"/>
      <c r="AB124" s="16"/>
    </row>
    <row r="125" spans="1:37" ht="16.5" thickBot="1" x14ac:dyDescent="0.3">
      <c r="B125" s="236" t="s">
        <v>37</v>
      </c>
      <c r="C125" s="53">
        <f t="array" ref="C125">C124/INDEX(C$94:C$105,MATCH(TEXT(MAX(IF($A$107:$A$118=1,$B$107:$B$118)),"mmmm"),TEXT($B$94:$B$105,"mmmm"),0))</f>
        <v>0.19778910754276458</v>
      </c>
      <c r="D125" s="27" t="e">
        <f t="array" ref="D125">D124/INDEX(D$94:D$105,MATCH(TEXT(MAX(IF($A$107:$A$118=1,$B$107:$B$118)),"mmmm"),TEXT($B$94:$B$105,"mmmm"),0))</f>
        <v>#DIV/0!</v>
      </c>
      <c r="E125" s="27">
        <f t="array" ref="E125">E124/INDEX(E$94:E$105,MATCH(TEXT(MAX(IF($A$107:$A$118=1,$B$107:$B$118)),"mmmm"),TEXT($B$94:$B$105,"mmmm"),0))</f>
        <v>0.25876132930513596</v>
      </c>
      <c r="F125" s="51">
        <f t="array" ref="F125">F124/INDEX(F$94:F$105,MATCH(TEXT(MAX(IF($A$107:$A$118=1,$B$107:$B$118)),"mmmm"),TEXT($B$94:$B$105,"mmmm"),0))</f>
        <v>0.21737231943590904</v>
      </c>
      <c r="G125" s="53">
        <f t="array" ref="G125">G124/INDEX(G$94:G$105,MATCH(TEXT(MAX(IF($A$107:$A$118=1,$B$107:$B$118)),"mmmm"),TEXT($B$94:$B$105,"mmmm"),0))</f>
        <v>0.47738693467336685</v>
      </c>
      <c r="H125" s="27" t="e">
        <f t="array" ref="H125">H124/INDEX(H$94:H$105,MATCH(TEXT(MAX(IF($A$107:$A$118=1,$B$107:$B$118)),"mmmm"),TEXT($B$94:$B$105,"mmmm"),0))</f>
        <v>#DIV/0!</v>
      </c>
      <c r="I125" s="27">
        <f t="array" ref="I125">I124/INDEX(I$94:I$105,MATCH(TEXT(MAX(IF($A$107:$A$118=1,$B$107:$B$118)),"mmmm"),TEXT($B$94:$B$105,"mmmm"),0))</f>
        <v>0.14979757085020243</v>
      </c>
      <c r="J125" s="517">
        <f t="array" ref="J125">J124/INDEX(J$94:J$105,MATCH(TEXT(MAX(IF($A$107:$A$118=1,$B$107:$B$118)),"mmmm"),TEXT($B$94:$B$105,"mmmm"),0))</f>
        <v>0.24386724386724387</v>
      </c>
      <c r="K125" s="27"/>
      <c r="L125" s="27"/>
      <c r="M125" s="27"/>
      <c r="N125" s="27"/>
      <c r="O125" s="27"/>
      <c r="P125" s="27"/>
      <c r="Q125" s="27"/>
      <c r="R125" s="27"/>
      <c r="AB125" s="16"/>
    </row>
    <row r="126" spans="1:37" x14ac:dyDescent="0.25">
      <c r="B126" s="750" t="s">
        <v>24</v>
      </c>
      <c r="C126" s="751"/>
      <c r="D126" s="751"/>
      <c r="E126" s="751"/>
      <c r="F126" s="751"/>
      <c r="G126" s="751"/>
      <c r="H126" s="751"/>
      <c r="I126" s="751"/>
      <c r="J126" s="752"/>
      <c r="K126" s="155"/>
      <c r="L126" s="156"/>
      <c r="M126" s="155"/>
      <c r="N126" s="155"/>
      <c r="O126" s="155"/>
      <c r="P126" s="155"/>
      <c r="Q126" s="155"/>
      <c r="R126" s="155"/>
      <c r="AB126" s="16"/>
    </row>
    <row r="127" spans="1:37" x14ac:dyDescent="0.25">
      <c r="B127" s="753" t="s">
        <v>38</v>
      </c>
      <c r="C127" s="754"/>
      <c r="D127" s="754"/>
      <c r="E127" s="754"/>
      <c r="F127" s="754"/>
      <c r="G127" s="754"/>
      <c r="H127" s="754"/>
      <c r="I127" s="754"/>
      <c r="J127" s="755"/>
      <c r="K127" s="157"/>
      <c r="L127" s="157"/>
      <c r="M127" s="157"/>
      <c r="N127" s="157"/>
      <c r="O127" s="157"/>
      <c r="P127" s="157"/>
      <c r="Q127" s="157"/>
      <c r="R127" s="157"/>
    </row>
    <row r="128" spans="1:37" s="150" customFormat="1" ht="27.75" hidden="1" customHeight="1" thickBot="1" x14ac:dyDescent="0.3">
      <c r="B128" s="756" t="s">
        <v>293</v>
      </c>
      <c r="C128" s="757"/>
      <c r="D128" s="757"/>
      <c r="E128" s="757"/>
      <c r="F128" s="757"/>
      <c r="G128" s="757"/>
      <c r="H128" s="757"/>
      <c r="I128" s="757"/>
      <c r="J128" s="758"/>
      <c r="K128" s="157"/>
      <c r="L128" s="157"/>
      <c r="M128" s="157"/>
      <c r="N128" s="157"/>
      <c r="O128" s="157"/>
      <c r="P128" s="157"/>
      <c r="Q128" s="157"/>
      <c r="R128" s="157"/>
      <c r="AB128" s="158"/>
    </row>
    <row r="129" spans="2:37" s="15" customFormat="1" ht="39.75" customHeight="1" thickBot="1" x14ac:dyDescent="0.3">
      <c r="B129" s="759" t="s">
        <v>368</v>
      </c>
      <c r="C129" s="760"/>
      <c r="D129" s="760"/>
      <c r="E129" s="760"/>
      <c r="F129" s="760"/>
      <c r="G129" s="760"/>
      <c r="H129" s="760"/>
      <c r="I129" s="760"/>
      <c r="J129" s="761"/>
      <c r="K129" s="157"/>
      <c r="L129" s="157"/>
      <c r="M129" s="157"/>
      <c r="N129" s="157"/>
      <c r="O129" s="157"/>
      <c r="P129" s="157"/>
      <c r="Q129" s="157"/>
      <c r="R129" s="157"/>
      <c r="AB129" s="106"/>
      <c r="AC129" s="16"/>
      <c r="AD129" s="16"/>
      <c r="AE129" s="16"/>
      <c r="AF129" s="16"/>
      <c r="AG129" s="16"/>
      <c r="AH129" s="16"/>
      <c r="AI129" s="16"/>
      <c r="AJ129" s="16"/>
      <c r="AK129" s="16"/>
    </row>
    <row r="130" spans="2:37" s="15" customFormat="1" x14ac:dyDescent="0.25">
      <c r="B130" s="392"/>
      <c r="C130" s="392"/>
      <c r="D130" s="392"/>
      <c r="E130" s="392"/>
      <c r="F130" s="392"/>
      <c r="G130" s="392"/>
      <c r="H130" s="392"/>
      <c r="I130" s="392"/>
      <c r="J130" s="392"/>
      <c r="K130" s="157"/>
      <c r="L130" s="157"/>
      <c r="M130" s="157"/>
      <c r="N130" s="157"/>
      <c r="O130" s="157"/>
      <c r="P130" s="157"/>
      <c r="Q130" s="157"/>
      <c r="R130" s="157"/>
      <c r="AB130" s="106"/>
      <c r="AC130" s="391"/>
      <c r="AD130" s="391"/>
      <c r="AE130" s="391"/>
      <c r="AF130" s="391"/>
      <c r="AG130" s="391"/>
      <c r="AH130" s="391"/>
      <c r="AI130" s="391"/>
      <c r="AJ130" s="391"/>
      <c r="AK130" s="391"/>
    </row>
    <row r="131" spans="2:37" s="15" customFormat="1" x14ac:dyDescent="0.25">
      <c r="B131" s="157"/>
      <c r="C131" s="157"/>
      <c r="D131" s="157"/>
      <c r="E131" s="159"/>
      <c r="F131" s="159"/>
      <c r="G131" s="157"/>
      <c r="H131" s="157"/>
      <c r="I131" s="157"/>
      <c r="J131" s="157"/>
      <c r="K131" s="157"/>
      <c r="L131" s="157"/>
      <c r="M131" s="157"/>
      <c r="N131" s="157"/>
      <c r="O131" s="157"/>
      <c r="P131" s="157"/>
      <c r="Q131" s="157"/>
      <c r="R131" s="157"/>
      <c r="AB131" s="106"/>
      <c r="AC131" s="16"/>
      <c r="AH131" s="16"/>
      <c r="AI131" s="16"/>
      <c r="AJ131" s="16"/>
    </row>
    <row r="132" spans="2:37" s="15" customFormat="1" x14ac:dyDescent="0.25">
      <c r="B132" s="157"/>
      <c r="C132" s="157"/>
      <c r="D132" s="157"/>
      <c r="E132" s="157"/>
      <c r="F132" s="159"/>
      <c r="G132" s="160"/>
      <c r="H132" s="157"/>
      <c r="I132" s="157"/>
      <c r="J132" s="157"/>
      <c r="K132" s="157"/>
      <c r="L132" s="157"/>
      <c r="M132" s="157"/>
      <c r="N132" s="157"/>
      <c r="O132" s="157"/>
      <c r="P132" s="157"/>
      <c r="Q132" s="157"/>
      <c r="R132" s="157"/>
      <c r="AB132" s="106"/>
      <c r="AC132" s="16"/>
      <c r="AH132" s="16"/>
      <c r="AI132" s="16"/>
      <c r="AJ132" s="16"/>
    </row>
    <row r="133" spans="2:37" x14ac:dyDescent="0.25">
      <c r="B133" s="157"/>
      <c r="C133" s="157"/>
      <c r="D133" s="157"/>
      <c r="E133" s="157"/>
      <c r="F133" s="157"/>
      <c r="G133" s="157"/>
      <c r="H133" s="157"/>
      <c r="I133" s="157"/>
      <c r="J133" s="157"/>
      <c r="K133" s="17"/>
      <c r="L133" s="17"/>
      <c r="M133" s="17"/>
      <c r="N133" s="17"/>
      <c r="O133" s="17"/>
      <c r="P133" s="17"/>
      <c r="Q133" s="17"/>
      <c r="R133" s="17"/>
      <c r="S133" s="17"/>
      <c r="T133" s="17"/>
      <c r="U133" s="17"/>
      <c r="V133" s="17"/>
      <c r="W133" s="17"/>
      <c r="X133" s="17"/>
      <c r="AD133" s="15"/>
      <c r="AE133" s="15"/>
      <c r="AF133" s="15"/>
      <c r="AG133" s="15"/>
      <c r="AK133" s="15"/>
    </row>
    <row r="134" spans="2:37" x14ac:dyDescent="0.25">
      <c r="B134" s="131"/>
      <c r="C134" s="17"/>
      <c r="D134" s="17"/>
      <c r="E134" s="17"/>
      <c r="F134" s="17"/>
      <c r="G134" s="17"/>
      <c r="H134" s="17"/>
      <c r="I134" s="17"/>
      <c r="J134" s="17"/>
      <c r="K134" s="17"/>
      <c r="L134" s="17"/>
      <c r="M134" s="17"/>
      <c r="N134" s="17"/>
      <c r="O134" s="17"/>
      <c r="P134" s="17"/>
      <c r="Q134" s="17"/>
      <c r="R134" s="17"/>
      <c r="S134" s="17"/>
      <c r="T134" s="17"/>
      <c r="U134" s="17"/>
      <c r="V134" s="17"/>
      <c r="W134" s="17"/>
      <c r="X134" s="17"/>
    </row>
    <row r="135" spans="2:37" x14ac:dyDescent="0.25">
      <c r="B135" s="131"/>
      <c r="C135" s="17"/>
      <c r="D135" s="17"/>
      <c r="E135" s="17"/>
      <c r="F135" s="17"/>
      <c r="G135" s="17"/>
      <c r="H135" s="17"/>
      <c r="I135" s="17"/>
      <c r="J135" s="17"/>
    </row>
    <row r="138" spans="2:37" x14ac:dyDescent="0.25">
      <c r="C138" s="17"/>
      <c r="D138" s="17"/>
      <c r="E138" s="17"/>
      <c r="F138" s="17"/>
      <c r="G138" s="17"/>
      <c r="H138" s="17"/>
      <c r="I138" s="17"/>
      <c r="J138" s="17"/>
    </row>
    <row r="141" spans="2:37" x14ac:dyDescent="0.25">
      <c r="K141" s="17"/>
      <c r="L141" s="17"/>
      <c r="M141" s="17"/>
      <c r="N141" s="17"/>
      <c r="O141" s="17"/>
      <c r="P141" s="17"/>
      <c r="Q141" s="17"/>
      <c r="R141" s="17"/>
      <c r="S141" s="101"/>
      <c r="T141" s="101"/>
      <c r="U141" s="101"/>
      <c r="V141" s="101"/>
      <c r="W141" s="101"/>
      <c r="X141" s="101"/>
      <c r="Z141" s="17"/>
      <c r="AA141" s="101"/>
    </row>
    <row r="142" spans="2:37" x14ac:dyDescent="0.25">
      <c r="F142" s="17"/>
      <c r="G142" s="101"/>
      <c r="J142" s="17"/>
      <c r="K142" s="17"/>
      <c r="L142" s="17"/>
      <c r="M142" s="17"/>
      <c r="N142" s="17"/>
      <c r="O142" s="17"/>
      <c r="P142" s="17"/>
      <c r="Q142" s="17"/>
      <c r="R142" s="17"/>
      <c r="S142" s="101"/>
      <c r="T142" s="101"/>
      <c r="U142" s="101"/>
      <c r="V142" s="101"/>
      <c r="W142" s="101"/>
      <c r="X142" s="101"/>
      <c r="Z142" s="17"/>
      <c r="AA142" s="101"/>
    </row>
    <row r="143" spans="2:37" x14ac:dyDescent="0.25">
      <c r="F143" s="17"/>
      <c r="G143" s="101"/>
      <c r="J143" s="17"/>
      <c r="K143" s="17"/>
      <c r="L143" s="17"/>
      <c r="M143" s="17"/>
      <c r="N143" s="17"/>
      <c r="O143" s="17"/>
      <c r="P143" s="17"/>
      <c r="Q143" s="17"/>
      <c r="R143" s="17"/>
      <c r="S143" s="101"/>
      <c r="T143" s="101"/>
      <c r="U143" s="101"/>
      <c r="V143" s="101"/>
      <c r="W143" s="101"/>
      <c r="X143" s="101"/>
      <c r="Z143" s="17"/>
      <c r="AA143" s="101"/>
    </row>
    <row r="144" spans="2:37" x14ac:dyDescent="0.25">
      <c r="F144" s="17"/>
      <c r="G144" s="101"/>
      <c r="J144" s="17"/>
      <c r="K144" s="17"/>
      <c r="L144" s="17"/>
      <c r="M144" s="17"/>
      <c r="N144" s="17"/>
      <c r="O144" s="17"/>
      <c r="P144" s="17"/>
      <c r="Q144" s="17"/>
      <c r="R144" s="17"/>
      <c r="S144" s="101"/>
      <c r="T144" s="101"/>
      <c r="U144" s="101"/>
      <c r="V144" s="101"/>
      <c r="W144" s="101"/>
      <c r="X144" s="101"/>
      <c r="Z144" s="17"/>
      <c r="AA144" s="101"/>
    </row>
    <row r="145" spans="6:27" x14ac:dyDescent="0.25">
      <c r="F145" s="17"/>
      <c r="G145" s="101"/>
      <c r="J145" s="17"/>
      <c r="K145" s="17"/>
      <c r="L145" s="17"/>
      <c r="M145" s="17"/>
      <c r="N145" s="17"/>
      <c r="O145" s="17"/>
      <c r="P145" s="17"/>
      <c r="Q145" s="17"/>
      <c r="R145" s="17"/>
      <c r="S145" s="101"/>
      <c r="T145" s="101"/>
      <c r="U145" s="101"/>
      <c r="V145" s="101"/>
      <c r="W145" s="101"/>
      <c r="X145" s="101"/>
      <c r="Z145" s="17"/>
      <c r="AA145" s="101"/>
    </row>
    <row r="146" spans="6:27" x14ac:dyDescent="0.25">
      <c r="F146" s="17"/>
      <c r="G146" s="101"/>
      <c r="J146" s="17"/>
      <c r="K146" s="17"/>
      <c r="L146" s="17"/>
      <c r="M146" s="17"/>
      <c r="N146" s="17"/>
      <c r="O146" s="17"/>
      <c r="P146" s="17"/>
      <c r="Q146" s="17"/>
      <c r="R146" s="17"/>
      <c r="S146" s="101"/>
      <c r="T146" s="101"/>
      <c r="U146" s="101"/>
      <c r="V146" s="101"/>
      <c r="W146" s="101"/>
      <c r="X146" s="101"/>
      <c r="Z146" s="17"/>
      <c r="AA146" s="101"/>
    </row>
    <row r="147" spans="6:27" x14ac:dyDescent="0.25">
      <c r="F147" s="17"/>
      <c r="G147" s="101"/>
      <c r="J147" s="17"/>
      <c r="K147" s="17"/>
      <c r="L147" s="17"/>
      <c r="M147" s="17"/>
      <c r="N147" s="17"/>
      <c r="O147" s="17"/>
      <c r="P147" s="17"/>
      <c r="Q147" s="17"/>
      <c r="R147" s="17"/>
      <c r="S147" s="101"/>
      <c r="T147" s="101"/>
      <c r="U147" s="101"/>
      <c r="V147" s="101"/>
      <c r="W147" s="101"/>
      <c r="X147" s="101"/>
      <c r="Z147" s="17"/>
      <c r="AA147" s="101"/>
    </row>
    <row r="148" spans="6:27" x14ac:dyDescent="0.25">
      <c r="F148" s="17"/>
      <c r="G148" s="101"/>
      <c r="J148" s="17"/>
      <c r="K148" s="17"/>
      <c r="L148" s="17"/>
      <c r="M148" s="17"/>
      <c r="N148" s="17"/>
      <c r="O148" s="17"/>
      <c r="P148" s="17"/>
      <c r="Q148" s="17"/>
      <c r="R148" s="17"/>
      <c r="S148" s="101"/>
      <c r="T148" s="101"/>
      <c r="U148" s="101"/>
      <c r="V148" s="101"/>
      <c r="W148" s="101"/>
      <c r="X148" s="101"/>
      <c r="Z148" s="17"/>
      <c r="AA148" s="101"/>
    </row>
    <row r="149" spans="6:27" x14ac:dyDescent="0.25">
      <c r="F149" s="17"/>
      <c r="G149" s="101"/>
      <c r="J149" s="17"/>
      <c r="K149" s="17"/>
      <c r="L149" s="17"/>
      <c r="M149" s="17"/>
      <c r="N149" s="17"/>
      <c r="O149" s="17"/>
      <c r="P149" s="17"/>
      <c r="Q149" s="17"/>
      <c r="R149" s="17"/>
      <c r="S149" s="101"/>
      <c r="T149" s="101"/>
      <c r="U149" s="101"/>
      <c r="V149" s="101"/>
      <c r="W149" s="101"/>
      <c r="X149" s="101"/>
      <c r="Z149" s="17"/>
      <c r="AA149" s="101"/>
    </row>
    <row r="150" spans="6:27" x14ac:dyDescent="0.25">
      <c r="F150" s="17"/>
      <c r="G150" s="101"/>
      <c r="J150" s="17"/>
      <c r="K150" s="17"/>
      <c r="L150" s="17"/>
      <c r="M150" s="17"/>
      <c r="N150" s="17"/>
      <c r="O150" s="17"/>
      <c r="P150" s="17"/>
      <c r="Q150" s="17"/>
      <c r="R150" s="17"/>
      <c r="S150" s="101"/>
      <c r="T150" s="101"/>
      <c r="U150" s="101"/>
      <c r="V150" s="101"/>
      <c r="W150" s="101"/>
      <c r="X150" s="101"/>
      <c r="Z150" s="17"/>
      <c r="AA150" s="101"/>
    </row>
    <row r="151" spans="6:27" x14ac:dyDescent="0.25">
      <c r="F151" s="17"/>
      <c r="G151" s="101"/>
      <c r="J151" s="17"/>
      <c r="K151" s="17"/>
      <c r="L151" s="17"/>
      <c r="M151" s="17"/>
      <c r="N151" s="17"/>
      <c r="O151" s="17"/>
      <c r="P151" s="17"/>
      <c r="Q151" s="17"/>
      <c r="R151" s="17"/>
      <c r="S151" s="101"/>
      <c r="T151" s="101"/>
      <c r="U151" s="101"/>
      <c r="V151" s="101"/>
      <c r="W151" s="101"/>
      <c r="X151" s="101"/>
      <c r="Z151" s="17"/>
      <c r="AA151" s="101"/>
    </row>
    <row r="152" spans="6:27" x14ac:dyDescent="0.25">
      <c r="F152" s="17"/>
      <c r="G152" s="101"/>
      <c r="J152" s="17"/>
      <c r="K152" s="17"/>
      <c r="L152" s="17"/>
      <c r="M152" s="17"/>
      <c r="N152" s="17"/>
      <c r="O152" s="17"/>
      <c r="P152" s="17"/>
      <c r="Q152" s="17"/>
      <c r="R152" s="17"/>
      <c r="S152" s="101"/>
      <c r="T152" s="101"/>
      <c r="U152" s="101"/>
      <c r="V152" s="101"/>
      <c r="W152" s="101"/>
      <c r="X152" s="101"/>
      <c r="Z152" s="17"/>
      <c r="AA152" s="101"/>
    </row>
    <row r="153" spans="6:27" x14ac:dyDescent="0.25">
      <c r="F153" s="17"/>
      <c r="G153" s="101"/>
      <c r="J153" s="17"/>
    </row>
  </sheetData>
  <dataConsolidate link="1"/>
  <mergeCells count="11">
    <mergeCell ref="Z60:AA60"/>
    <mergeCell ref="W60:X60"/>
    <mergeCell ref="AB60:AC60"/>
    <mergeCell ref="AE60:AF60"/>
    <mergeCell ref="W59:AA59"/>
    <mergeCell ref="AB59:AF59"/>
    <mergeCell ref="B1:J1"/>
    <mergeCell ref="B126:J126"/>
    <mergeCell ref="B127:J127"/>
    <mergeCell ref="B128:J128"/>
    <mergeCell ref="B129:J129"/>
  </mergeCells>
  <phoneticPr fontId="19" type="noConversion"/>
  <conditionalFormatting sqref="Y61:Y119 AD61:AD119">
    <cfRule type="containsText" dxfId="0" priority="1" operator="containsText" text="TRUE">
      <formula>NOT(ISERROR(SEARCH("TRUE",Y61)))</formula>
    </cfRule>
  </conditionalFormatting>
  <hyperlinks>
    <hyperlink ref="AT35" r:id="rId1" display="http://www.google.com/url?sa=t&amp;rct=j&amp;q=&amp;esrc=s&amp;source=web&amp;cd=6&amp;cts=1331079773554&amp;ved=0CGYQFjAF&amp;url=http%3A%2F%2Fwww.dba-oracle.com%2Ft_alter_table_add_column_syntax_example.htm&amp;ei=wKlWT9-IEMuKsAKAtv3PCQ&amp;usg=AFQjCNE4nYVnaI7_X06-dHHNFQ2ckkrSHw&amp;sig2=ydEiO1bFJw72UV_Bc2TdCw"/>
  </hyperlinks>
  <printOptions horizontalCentered="1" gridLines="1"/>
  <pageMargins left="0.28999999999999998" right="0.28999999999999998" top="0.7" bottom="0.43" header="0.3" footer="0.27"/>
  <pageSetup scale="60" firstPageNumber="7" orientation="landscape" r:id="rId2"/>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AB61"/>
  <sheetViews>
    <sheetView view="pageBreakPreview" topLeftCell="A4" zoomScale="80" zoomScaleNormal="100" zoomScaleSheetLayoutView="80" workbookViewId="0">
      <selection activeCell="I68" sqref="I68"/>
    </sheetView>
  </sheetViews>
  <sheetFormatPr defaultColWidth="9.140625" defaultRowHeight="15.75" x14ac:dyDescent="0.2"/>
  <cols>
    <col min="1" max="1" width="8.85546875" style="535" customWidth="1"/>
    <col min="2" max="2" width="46.5703125" style="196" customWidth="1"/>
    <col min="3" max="14" width="17" style="535" customWidth="1"/>
    <col min="15" max="16" width="14.42578125" style="535" bestFit="1" customWidth="1"/>
    <col min="17" max="17" width="23.7109375" style="535" bestFit="1" customWidth="1"/>
    <col min="18" max="18" width="9.140625" style="535"/>
    <col min="19" max="19" width="14.42578125" style="535" bestFit="1" customWidth="1"/>
    <col min="20" max="21" width="14.42578125" style="535" customWidth="1"/>
    <col min="22" max="22" width="14.42578125" style="535" bestFit="1" customWidth="1"/>
    <col min="23" max="23" width="14.42578125" style="535" customWidth="1"/>
    <col min="24" max="24" width="12.7109375" style="535" bestFit="1" customWidth="1"/>
    <col min="25" max="25" width="9.140625" style="535"/>
    <col min="26" max="26" width="12.85546875" style="535" bestFit="1" customWidth="1"/>
    <col min="27" max="27" width="13.28515625" style="535" bestFit="1" customWidth="1"/>
    <col min="28" max="16384" width="9.140625" style="535"/>
  </cols>
  <sheetData>
    <row r="1" spans="1:27" ht="16.5" thickBot="1" x14ac:dyDescent="0.25">
      <c r="A1" s="774" t="s">
        <v>329</v>
      </c>
      <c r="B1" s="775"/>
      <c r="C1" s="775"/>
      <c r="D1" s="775"/>
      <c r="E1" s="775"/>
      <c r="F1" s="775"/>
      <c r="G1" s="775"/>
      <c r="H1" s="775"/>
      <c r="I1" s="775"/>
      <c r="J1" s="775"/>
      <c r="K1" s="775"/>
      <c r="L1" s="775"/>
      <c r="M1" s="775"/>
      <c r="N1" s="775"/>
      <c r="O1" s="775"/>
      <c r="P1" s="775"/>
      <c r="Q1" s="776"/>
    </row>
    <row r="2" spans="1:27" ht="32.25" customHeight="1" thickBot="1" x14ac:dyDescent="0.25">
      <c r="A2" s="487"/>
      <c r="B2" s="488" t="s">
        <v>253</v>
      </c>
      <c r="C2" s="489">
        <v>42917</v>
      </c>
      <c r="D2" s="489">
        <v>42948</v>
      </c>
      <c r="E2" s="489">
        <v>42979</v>
      </c>
      <c r="F2" s="489">
        <v>43009</v>
      </c>
      <c r="G2" s="489">
        <v>43040</v>
      </c>
      <c r="H2" s="489">
        <v>43070</v>
      </c>
      <c r="I2" s="489">
        <v>43101</v>
      </c>
      <c r="J2" s="489">
        <v>43132</v>
      </c>
      <c r="K2" s="489">
        <v>43160</v>
      </c>
      <c r="L2" s="489">
        <v>43191</v>
      </c>
      <c r="M2" s="489">
        <v>43221</v>
      </c>
      <c r="N2" s="489">
        <v>43252</v>
      </c>
      <c r="O2" s="490" t="s">
        <v>330</v>
      </c>
      <c r="P2" s="785" t="s">
        <v>331</v>
      </c>
      <c r="Q2" s="786"/>
    </row>
    <row r="3" spans="1:27" ht="15.75" customHeight="1" x14ac:dyDescent="0.25">
      <c r="A3" s="771" t="s">
        <v>160</v>
      </c>
      <c r="B3" s="384" t="s">
        <v>162</v>
      </c>
      <c r="C3" s="623">
        <v>5110</v>
      </c>
      <c r="D3" s="3">
        <v>5136</v>
      </c>
      <c r="E3" s="3">
        <v>5116</v>
      </c>
      <c r="F3" s="3">
        <v>5178</v>
      </c>
      <c r="G3" s="3">
        <v>5188</v>
      </c>
      <c r="H3" s="3">
        <v>5226</v>
      </c>
      <c r="I3" s="379"/>
      <c r="J3" s="379"/>
      <c r="K3" s="379"/>
      <c r="L3" s="379"/>
      <c r="M3" s="379"/>
      <c r="N3" s="610"/>
      <c r="O3" s="87">
        <f>AVERAGE(C3:N3)</f>
        <v>5159</v>
      </c>
      <c r="P3" s="787">
        <v>5587</v>
      </c>
      <c r="Q3" s="788"/>
    </row>
    <row r="4" spans="1:27" ht="31.5" x14ac:dyDescent="0.2">
      <c r="A4" s="772"/>
      <c r="B4" s="199" t="s">
        <v>254</v>
      </c>
      <c r="C4" s="624">
        <v>48</v>
      </c>
      <c r="D4" s="3">
        <v>41</v>
      </c>
      <c r="E4" s="3">
        <v>35</v>
      </c>
      <c r="F4" s="61" t="s">
        <v>378</v>
      </c>
      <c r="G4" s="61" t="s">
        <v>378</v>
      </c>
      <c r="H4" s="61" t="s">
        <v>378</v>
      </c>
      <c r="I4" s="3"/>
      <c r="J4" s="3"/>
      <c r="K4" s="3"/>
      <c r="L4" s="3"/>
      <c r="M4" s="3"/>
      <c r="N4" s="72"/>
      <c r="O4" s="634" t="s">
        <v>355</v>
      </c>
      <c r="P4" s="789">
        <v>0</v>
      </c>
      <c r="Q4" s="790"/>
    </row>
    <row r="5" spans="1:27" x14ac:dyDescent="0.25">
      <c r="A5" s="772"/>
      <c r="B5" s="199" t="s">
        <v>143</v>
      </c>
      <c r="C5" s="624">
        <v>4639</v>
      </c>
      <c r="D5" s="3">
        <v>4667</v>
      </c>
      <c r="E5" s="3">
        <v>4674</v>
      </c>
      <c r="F5" s="3">
        <v>4750</v>
      </c>
      <c r="G5" s="3">
        <v>4739</v>
      </c>
      <c r="H5" s="3">
        <v>4764</v>
      </c>
      <c r="I5" s="3"/>
      <c r="J5" s="3"/>
      <c r="K5" s="3"/>
      <c r="L5" s="3"/>
      <c r="M5" s="3"/>
      <c r="N5" s="610"/>
      <c r="O5" s="87">
        <f t="shared" ref="O5:O8" si="0">AVERAGE(C5:N5)</f>
        <v>4705.5</v>
      </c>
      <c r="P5" s="789">
        <v>0</v>
      </c>
      <c r="Q5" s="790"/>
    </row>
    <row r="6" spans="1:27" ht="15.6" customHeight="1" x14ac:dyDescent="0.25">
      <c r="A6" s="772"/>
      <c r="B6" s="199" t="s">
        <v>144</v>
      </c>
      <c r="C6" s="624">
        <v>1616</v>
      </c>
      <c r="D6" s="3">
        <v>1621</v>
      </c>
      <c r="E6" s="3">
        <v>1633</v>
      </c>
      <c r="F6" s="3">
        <v>1652</v>
      </c>
      <c r="G6" s="3">
        <v>1687</v>
      </c>
      <c r="H6" s="3">
        <v>1682</v>
      </c>
      <c r="I6" s="3"/>
      <c r="J6" s="3"/>
      <c r="K6" s="3"/>
      <c r="L6" s="3"/>
      <c r="M6" s="3"/>
      <c r="N6" s="610"/>
      <c r="O6" s="87">
        <f t="shared" si="0"/>
        <v>1648.5</v>
      </c>
      <c r="P6" s="789">
        <v>0</v>
      </c>
      <c r="Q6" s="790"/>
    </row>
    <row r="7" spans="1:27" ht="16.5" thickBot="1" x14ac:dyDescent="0.25">
      <c r="A7" s="772"/>
      <c r="B7" s="199" t="s">
        <v>145</v>
      </c>
      <c r="C7" s="625">
        <v>11413</v>
      </c>
      <c r="D7" s="3">
        <v>11465</v>
      </c>
      <c r="E7" s="3">
        <v>11458</v>
      </c>
      <c r="F7" s="3">
        <v>11607</v>
      </c>
      <c r="G7" s="3">
        <v>11634</v>
      </c>
      <c r="H7" s="3">
        <v>11672</v>
      </c>
      <c r="I7" s="381"/>
      <c r="J7" s="381"/>
      <c r="K7" s="381"/>
      <c r="L7" s="381"/>
      <c r="M7" s="381"/>
      <c r="N7" s="611"/>
      <c r="O7" s="87">
        <f t="shared" si="0"/>
        <v>11541.5</v>
      </c>
      <c r="P7" s="791">
        <v>0</v>
      </c>
      <c r="Q7" s="792"/>
    </row>
    <row r="8" spans="1:27" ht="16.5" customHeight="1" thickBot="1" x14ac:dyDescent="0.25">
      <c r="A8" s="773"/>
      <c r="B8" s="201" t="s">
        <v>161</v>
      </c>
      <c r="C8" s="88">
        <v>11413</v>
      </c>
      <c r="D8" s="88">
        <v>11465</v>
      </c>
      <c r="E8" s="88">
        <v>11458</v>
      </c>
      <c r="F8" s="88">
        <f>F7</f>
        <v>11607</v>
      </c>
      <c r="G8" s="88">
        <f>G7</f>
        <v>11634</v>
      </c>
      <c r="H8" s="88">
        <f>H7</f>
        <v>11672</v>
      </c>
      <c r="I8" s="88"/>
      <c r="J8" s="88"/>
      <c r="K8" s="88"/>
      <c r="L8" s="88"/>
      <c r="M8" s="88"/>
      <c r="N8" s="612"/>
      <c r="O8" s="89">
        <f t="shared" si="0"/>
        <v>11541.5</v>
      </c>
      <c r="P8" s="793">
        <v>0</v>
      </c>
      <c r="Q8" s="794"/>
    </row>
    <row r="9" spans="1:27" ht="16.5" hidden="1" customHeight="1" thickBot="1" x14ac:dyDescent="0.25">
      <c r="A9" s="639" t="s">
        <v>146</v>
      </c>
      <c r="B9" s="378" t="s">
        <v>147</v>
      </c>
      <c r="C9" s="536"/>
      <c r="D9" s="536"/>
      <c r="E9" s="536"/>
      <c r="F9" s="536"/>
      <c r="G9" s="536"/>
      <c r="H9" s="536"/>
      <c r="I9" s="536"/>
      <c r="J9" s="536"/>
      <c r="K9" s="536"/>
      <c r="L9" s="536"/>
      <c r="M9" s="3"/>
      <c r="N9" s="3"/>
      <c r="O9" s="87" t="e">
        <f t="shared" ref="O9:O11" si="1">ROUND(AVERAGE(C9:N9),0)</f>
        <v>#DIV/0!</v>
      </c>
      <c r="P9" s="263">
        <v>692</v>
      </c>
      <c r="Q9" s="504"/>
    </row>
    <row r="10" spans="1:27" ht="16.5" hidden="1" customHeight="1" thickBot="1" x14ac:dyDescent="0.25">
      <c r="A10" s="640"/>
      <c r="B10" s="537" t="s">
        <v>148</v>
      </c>
      <c r="C10" s="536"/>
      <c r="D10" s="536"/>
      <c r="E10" s="536"/>
      <c r="F10" s="536"/>
      <c r="G10" s="536"/>
      <c r="H10" s="536"/>
      <c r="I10" s="536"/>
      <c r="J10" s="536"/>
      <c r="K10" s="536"/>
      <c r="L10" s="536"/>
      <c r="M10" s="3"/>
      <c r="N10" s="3"/>
      <c r="O10" s="87" t="e">
        <f t="shared" si="1"/>
        <v>#DIV/0!</v>
      </c>
      <c r="P10" s="261"/>
      <c r="Q10" s="505"/>
    </row>
    <row r="11" spans="1:27" ht="16.5" hidden="1" customHeight="1" thickBot="1" x14ac:dyDescent="0.25">
      <c r="A11" s="640"/>
      <c r="B11" s="538" t="s">
        <v>149</v>
      </c>
      <c r="C11" s="3"/>
      <c r="D11" s="3"/>
      <c r="E11" s="3"/>
      <c r="F11" s="3"/>
      <c r="G11" s="3"/>
      <c r="H11" s="3"/>
      <c r="I11" s="3"/>
      <c r="J11" s="3"/>
      <c r="K11" s="3"/>
      <c r="L11" s="3"/>
      <c r="M11" s="3"/>
      <c r="N11" s="3"/>
      <c r="O11" s="87" t="e">
        <f t="shared" si="1"/>
        <v>#DIV/0!</v>
      </c>
      <c r="P11" s="264">
        <f>P9</f>
        <v>692</v>
      </c>
      <c r="Q11" s="506"/>
    </row>
    <row r="12" spans="1:27" ht="16.5" hidden="1" customHeight="1" thickBot="1" x14ac:dyDescent="0.25">
      <c r="A12" s="641"/>
      <c r="B12" s="201" t="s">
        <v>150</v>
      </c>
      <c r="C12" s="88">
        <f>SUM(C9:C10)</f>
        <v>0</v>
      </c>
      <c r="D12" s="88"/>
      <c r="E12" s="88"/>
      <c r="F12" s="88"/>
      <c r="G12" s="88"/>
      <c r="H12" s="88"/>
      <c r="I12" s="88"/>
      <c r="J12" s="88"/>
      <c r="K12" s="88"/>
      <c r="L12" s="88"/>
      <c r="M12" s="88"/>
      <c r="N12" s="88"/>
      <c r="O12" s="89">
        <f>ROUND(AVERAGE(B12:M12),0)</f>
        <v>0</v>
      </c>
      <c r="P12" s="380"/>
      <c r="Q12" s="507"/>
    </row>
    <row r="13" spans="1:27" ht="16.5" thickBot="1" x14ac:dyDescent="0.25">
      <c r="A13" s="557"/>
      <c r="B13" s="558"/>
      <c r="C13" s="556"/>
      <c r="D13" s="559"/>
      <c r="E13" s="559"/>
      <c r="F13" s="560"/>
      <c r="G13" s="556"/>
      <c r="H13" s="559"/>
      <c r="I13" s="560"/>
      <c r="J13" s="556"/>
      <c r="K13" s="556"/>
      <c r="L13" s="556"/>
      <c r="M13" s="556"/>
      <c r="N13" s="556"/>
      <c r="O13" s="556"/>
      <c r="P13" s="783"/>
      <c r="Q13" s="784"/>
    </row>
    <row r="14" spans="1:27" ht="16.5" thickBot="1" x14ac:dyDescent="0.25">
      <c r="A14" s="774" t="s">
        <v>333</v>
      </c>
      <c r="B14" s="775"/>
      <c r="C14" s="775"/>
      <c r="D14" s="775"/>
      <c r="E14" s="775"/>
      <c r="F14" s="775"/>
      <c r="G14" s="775"/>
      <c r="H14" s="775"/>
      <c r="I14" s="775"/>
      <c r="J14" s="775"/>
      <c r="K14" s="775"/>
      <c r="L14" s="775"/>
      <c r="M14" s="775"/>
      <c r="N14" s="775"/>
      <c r="O14" s="775"/>
      <c r="P14" s="775"/>
      <c r="Q14" s="776"/>
    </row>
    <row r="15" spans="1:27" ht="32.25" thickBot="1" x14ac:dyDescent="0.25">
      <c r="A15" s="90"/>
      <c r="B15" s="84" t="s">
        <v>253</v>
      </c>
      <c r="C15" s="489">
        <v>42917</v>
      </c>
      <c r="D15" s="489">
        <v>42948</v>
      </c>
      <c r="E15" s="489">
        <v>42979</v>
      </c>
      <c r="F15" s="489">
        <v>43009</v>
      </c>
      <c r="G15" s="489">
        <v>43040</v>
      </c>
      <c r="H15" s="489">
        <v>43070</v>
      </c>
      <c r="I15" s="489">
        <v>43101</v>
      </c>
      <c r="J15" s="489">
        <v>43132</v>
      </c>
      <c r="K15" s="489">
        <v>43160</v>
      </c>
      <c r="L15" s="489">
        <v>43191</v>
      </c>
      <c r="M15" s="489">
        <v>43221</v>
      </c>
      <c r="N15" s="489">
        <v>43252</v>
      </c>
      <c r="O15" s="86" t="s">
        <v>348</v>
      </c>
      <c r="P15" s="86" t="s">
        <v>314</v>
      </c>
      <c r="Q15" s="86" t="s">
        <v>332</v>
      </c>
      <c r="S15" s="280"/>
      <c r="T15" s="280"/>
      <c r="U15" s="280"/>
      <c r="V15" s="280"/>
      <c r="W15" s="108"/>
    </row>
    <row r="16" spans="1:27" ht="15.75" customHeight="1" x14ac:dyDescent="0.2">
      <c r="A16" s="771" t="s">
        <v>160</v>
      </c>
      <c r="B16" s="199" t="s">
        <v>162</v>
      </c>
      <c r="C16" s="92">
        <v>32479062.140000001</v>
      </c>
      <c r="D16" s="92">
        <v>27738542.810000002</v>
      </c>
      <c r="E16" s="3">
        <v>31281647.099999998</v>
      </c>
      <c r="F16" s="92">
        <v>32734350.669999998</v>
      </c>
      <c r="G16" s="92">
        <v>30874404.780000001</v>
      </c>
      <c r="H16" s="92">
        <v>28593930.919999998</v>
      </c>
      <c r="I16" s="92"/>
      <c r="J16" s="92"/>
      <c r="K16" s="599"/>
      <c r="L16" s="599"/>
      <c r="M16" s="599"/>
      <c r="N16" s="599"/>
      <c r="O16" s="93">
        <f>SUM(C16:N16)</f>
        <v>183701938.41999999</v>
      </c>
      <c r="P16" s="93">
        <v>376385762</v>
      </c>
      <c r="Q16" s="502">
        <f>O16/P16</f>
        <v>0.48806824531263748</v>
      </c>
      <c r="S16" s="280"/>
      <c r="T16" s="280"/>
      <c r="U16" s="280"/>
      <c r="V16" s="280"/>
      <c r="W16" s="215"/>
      <c r="X16" s="215"/>
      <c r="Z16" s="215"/>
      <c r="AA16" s="215"/>
    </row>
    <row r="17" spans="1:28" ht="31.5" customHeight="1" x14ac:dyDescent="0.25">
      <c r="A17" s="772"/>
      <c r="B17" s="199" t="s">
        <v>254</v>
      </c>
      <c r="C17" s="92">
        <v>0</v>
      </c>
      <c r="D17" s="92">
        <v>308963.40000000002</v>
      </c>
      <c r="E17" s="92">
        <v>568327.93000000017</v>
      </c>
      <c r="F17" s="92">
        <v>130155.96999999997</v>
      </c>
      <c r="G17" s="92">
        <v>7146676.0399999991</v>
      </c>
      <c r="H17" s="92">
        <v>954075.15000000014</v>
      </c>
      <c r="I17" s="92"/>
      <c r="J17" s="92"/>
      <c r="K17" s="599"/>
      <c r="L17" s="599"/>
      <c r="M17" s="599"/>
      <c r="N17" s="599"/>
      <c r="O17" s="93">
        <f t="shared" ref="O17:O21" si="2">SUM(C17:N17)</f>
        <v>9108198.4899999984</v>
      </c>
      <c r="P17" s="619">
        <v>0</v>
      </c>
      <c r="Q17" s="87"/>
      <c r="S17" s="280"/>
      <c r="T17" s="280"/>
      <c r="U17" s="280"/>
      <c r="V17" s="280"/>
      <c r="W17" s="461"/>
      <c r="X17" s="215"/>
      <c r="Y17" s="215"/>
      <c r="AA17" s="215"/>
      <c r="AB17" s="215"/>
    </row>
    <row r="18" spans="1:28" x14ac:dyDescent="0.25">
      <c r="A18" s="772"/>
      <c r="B18" s="199" t="s">
        <v>143</v>
      </c>
      <c r="C18" s="92">
        <v>6362536.0000000009</v>
      </c>
      <c r="D18" s="92">
        <v>4358777.2899999991</v>
      </c>
      <c r="E18" s="92">
        <v>5042097.6800000016</v>
      </c>
      <c r="F18" s="92">
        <v>6118031.1299999999</v>
      </c>
      <c r="G18" s="92">
        <v>5246954.1099999975</v>
      </c>
      <c r="H18" s="92">
        <v>4845134.6800000016</v>
      </c>
      <c r="I18" s="92"/>
      <c r="J18" s="92"/>
      <c r="K18" s="599"/>
      <c r="L18" s="599"/>
      <c r="M18" s="599"/>
      <c r="N18" s="599"/>
      <c r="O18" s="93">
        <f t="shared" si="2"/>
        <v>31973530.890000001</v>
      </c>
      <c r="P18" s="93">
        <v>71071703</v>
      </c>
      <c r="Q18" s="502">
        <f t="shared" ref="Q18:Q22" si="3">O18/P18</f>
        <v>0.44987708947962035</v>
      </c>
      <c r="S18" s="280"/>
      <c r="T18" s="280"/>
      <c r="U18" s="280"/>
      <c r="V18" s="280"/>
      <c r="W18" s="461"/>
      <c r="X18" s="215"/>
      <c r="Y18" s="215"/>
      <c r="AA18" s="215"/>
      <c r="AB18" s="215"/>
    </row>
    <row r="19" spans="1:28" ht="15.6" customHeight="1" x14ac:dyDescent="0.2">
      <c r="A19" s="772"/>
      <c r="B19" s="199" t="s">
        <v>144</v>
      </c>
      <c r="C19" s="92">
        <v>2473362.88</v>
      </c>
      <c r="D19" s="92">
        <v>2139402.5</v>
      </c>
      <c r="E19" s="92">
        <v>2058248.44</v>
      </c>
      <c r="F19" s="92">
        <v>2515943.7300000009</v>
      </c>
      <c r="G19" s="92">
        <v>2097568.8000000003</v>
      </c>
      <c r="H19" s="92">
        <v>2376484.44</v>
      </c>
      <c r="I19" s="92"/>
      <c r="J19" s="92"/>
      <c r="K19" s="599"/>
      <c r="L19" s="599"/>
      <c r="M19" s="599"/>
      <c r="N19" s="599"/>
      <c r="O19" s="93">
        <f t="shared" si="2"/>
        <v>13661010.790000001</v>
      </c>
      <c r="P19" s="93">
        <v>28030392</v>
      </c>
      <c r="Q19" s="502">
        <f t="shared" si="3"/>
        <v>0.48736424342549334</v>
      </c>
      <c r="S19" s="280"/>
      <c r="T19" s="280"/>
      <c r="U19" s="280"/>
      <c r="V19" s="280"/>
      <c r="W19" s="215"/>
      <c r="X19" s="215"/>
      <c r="Z19" s="215"/>
      <c r="AA19" s="215"/>
    </row>
    <row r="20" spans="1:28" x14ac:dyDescent="0.2">
      <c r="A20" s="772"/>
      <c r="B20" s="199" t="s">
        <v>145</v>
      </c>
      <c r="C20" s="92">
        <v>2836349.33</v>
      </c>
      <c r="D20" s="92">
        <v>1409462.72</v>
      </c>
      <c r="E20" s="92">
        <v>2263316.3399999994</v>
      </c>
      <c r="F20" s="92">
        <v>3301842.3</v>
      </c>
      <c r="G20" s="92">
        <v>2050885.3299999998</v>
      </c>
      <c r="H20" s="92">
        <v>2107083.27</v>
      </c>
      <c r="I20" s="92"/>
      <c r="J20" s="92"/>
      <c r="K20" s="599"/>
      <c r="L20" s="599"/>
      <c r="M20" s="599"/>
      <c r="N20" s="599"/>
      <c r="O20" s="93">
        <f t="shared" si="2"/>
        <v>13968939.289999997</v>
      </c>
      <c r="P20" s="93">
        <v>28293291</v>
      </c>
      <c r="Q20" s="502">
        <f t="shared" si="3"/>
        <v>0.49371913963631864</v>
      </c>
      <c r="S20" s="280"/>
      <c r="T20" s="280"/>
      <c r="U20" s="280"/>
      <c r="V20" s="280"/>
      <c r="W20" s="215"/>
      <c r="X20" s="215"/>
      <c r="Z20" s="215"/>
      <c r="AA20" s="215"/>
    </row>
    <row r="21" spans="1:28" ht="32.25" thickBot="1" x14ac:dyDescent="0.25">
      <c r="A21" s="772"/>
      <c r="B21" s="199" t="s">
        <v>255</v>
      </c>
      <c r="C21" s="92">
        <v>0</v>
      </c>
      <c r="D21" s="92">
        <v>390554.54000000015</v>
      </c>
      <c r="E21" s="92">
        <v>404760.90000000026</v>
      </c>
      <c r="F21" s="92">
        <v>401285.35000000021</v>
      </c>
      <c r="G21" s="92">
        <v>418033.63000000024</v>
      </c>
      <c r="H21" s="92">
        <v>408109.3400000002</v>
      </c>
      <c r="I21" s="92"/>
      <c r="J21" s="92"/>
      <c r="K21" s="92"/>
      <c r="L21" s="92"/>
      <c r="M21" s="92"/>
      <c r="N21" s="92"/>
      <c r="O21" s="93">
        <f t="shared" si="2"/>
        <v>2022743.7600000012</v>
      </c>
      <c r="P21" s="93">
        <v>5227918</v>
      </c>
      <c r="Q21" s="502">
        <f t="shared" si="3"/>
        <v>0.38691191407363335</v>
      </c>
      <c r="S21" s="215"/>
      <c r="T21" s="215"/>
      <c r="U21" s="215"/>
      <c r="V21" s="215"/>
      <c r="W21" s="215"/>
      <c r="X21" s="215"/>
      <c r="Z21" s="215"/>
      <c r="AA21" s="215"/>
    </row>
    <row r="22" spans="1:28" ht="15.6" customHeight="1" thickBot="1" x14ac:dyDescent="0.25">
      <c r="A22" s="773"/>
      <c r="B22" s="201" t="s">
        <v>161</v>
      </c>
      <c r="C22" s="94">
        <f t="shared" ref="C22:H22" si="4">SUM(C16:C21)</f>
        <v>44151310.350000001</v>
      </c>
      <c r="D22" s="94">
        <f t="shared" si="4"/>
        <v>36345703.259999998</v>
      </c>
      <c r="E22" s="94">
        <f t="shared" si="4"/>
        <v>41618398.389999993</v>
      </c>
      <c r="F22" s="94">
        <f t="shared" si="4"/>
        <v>45201609.149999999</v>
      </c>
      <c r="G22" s="94">
        <f t="shared" si="4"/>
        <v>47834522.689999998</v>
      </c>
      <c r="H22" s="94">
        <f t="shared" si="4"/>
        <v>39284817.800000004</v>
      </c>
      <c r="I22" s="94"/>
      <c r="J22" s="94"/>
      <c r="K22" s="600"/>
      <c r="L22" s="600"/>
      <c r="M22" s="600"/>
      <c r="N22" s="600"/>
      <c r="O22" s="95">
        <f>SUM(O16,O18:O21)</f>
        <v>245328163.14999998</v>
      </c>
      <c r="P22" s="95">
        <f>SUM(P16:P21)</f>
        <v>509009066</v>
      </c>
      <c r="Q22" s="503">
        <f t="shared" si="3"/>
        <v>0.48197208956981519</v>
      </c>
    </row>
    <row r="23" spans="1:28" ht="16.5" thickBot="1" x14ac:dyDescent="0.25">
      <c r="A23" s="642"/>
      <c r="B23" s="206" t="s">
        <v>97</v>
      </c>
      <c r="C23" s="554">
        <f>'Premiums Expend'!C58</f>
        <v>5</v>
      </c>
      <c r="D23" s="554">
        <f>'Premiums Expend'!D58</f>
        <v>4</v>
      </c>
      <c r="E23" s="554">
        <f>'Premiums Expend'!E58</f>
        <v>4</v>
      </c>
      <c r="F23" s="554">
        <f>'Premiums Expend'!F58</f>
        <v>5</v>
      </c>
      <c r="G23" s="554">
        <f>'Premiums Expend'!G58</f>
        <v>4</v>
      </c>
      <c r="H23" s="554">
        <f>'Premiums Expend'!H58</f>
        <v>4</v>
      </c>
      <c r="I23" s="554">
        <f>'Premiums Expend'!I58</f>
        <v>5</v>
      </c>
      <c r="J23" s="554">
        <f>'Premiums Expend'!J58</f>
        <v>4</v>
      </c>
      <c r="K23" s="554">
        <f>'Premiums Expend'!K58</f>
        <v>4</v>
      </c>
      <c r="L23" s="554">
        <f>'Premiums Expend'!L58</f>
        <v>5</v>
      </c>
      <c r="M23" s="554">
        <f>'Premiums Expend'!M58</f>
        <v>4</v>
      </c>
      <c r="N23" s="554">
        <f>'Premiums Expend'!N58</f>
        <v>4</v>
      </c>
      <c r="O23" s="555">
        <f t="shared" ref="O23" si="5">SUM(C23:N23)</f>
        <v>52</v>
      </c>
      <c r="P23" s="97"/>
      <c r="Q23" s="97"/>
    </row>
    <row r="24" spans="1:28" ht="16.5" thickBot="1" x14ac:dyDescent="0.25">
      <c r="A24" s="643"/>
      <c r="B24" s="201" t="s">
        <v>151</v>
      </c>
      <c r="C24" s="98">
        <f>ROUND(C22/C23,0)</f>
        <v>8830262</v>
      </c>
      <c r="D24" s="98">
        <f>ROUND(D22/D23,0)</f>
        <v>9086426</v>
      </c>
      <c r="E24" s="98">
        <f t="shared" ref="E24:F24" si="6">ROUND(E22/E23,0)</f>
        <v>10404600</v>
      </c>
      <c r="F24" s="98">
        <f t="shared" si="6"/>
        <v>9040322</v>
      </c>
      <c r="G24" s="98">
        <f t="shared" ref="G24:H24" si="7">ROUND(G22/G23,0)</f>
        <v>11958631</v>
      </c>
      <c r="H24" s="98">
        <f t="shared" si="7"/>
        <v>9821204</v>
      </c>
      <c r="I24" s="98"/>
      <c r="J24" s="98"/>
      <c r="K24" s="98"/>
      <c r="L24" s="98"/>
      <c r="M24" s="98"/>
      <c r="N24" s="98"/>
      <c r="O24" s="99">
        <f>ROUND(O22/SUMIFS(C23:N23,C22:N22,"&lt;&gt;"&amp;""),0)</f>
        <v>9435699</v>
      </c>
      <c r="P24" s="99"/>
      <c r="Q24" s="99"/>
    </row>
    <row r="25" spans="1:28" ht="18.75" customHeight="1" x14ac:dyDescent="0.2">
      <c r="A25" s="639" t="s">
        <v>146</v>
      </c>
      <c r="B25" s="378" t="s">
        <v>147</v>
      </c>
      <c r="C25" s="539">
        <v>0</v>
      </c>
      <c r="D25" s="92">
        <v>600889.85</v>
      </c>
      <c r="E25" s="3">
        <v>600889.85</v>
      </c>
      <c r="F25" s="539">
        <v>668437.77999999991</v>
      </c>
      <c r="G25" s="539">
        <v>550647.64</v>
      </c>
      <c r="H25" s="539">
        <v>600889.85</v>
      </c>
      <c r="I25" s="539"/>
      <c r="J25" s="539"/>
      <c r="K25" s="539"/>
      <c r="L25" s="539"/>
      <c r="M25" s="539"/>
      <c r="N25" s="539"/>
      <c r="O25" s="93">
        <f>SUM(C25:N25)</f>
        <v>3021754.97</v>
      </c>
      <c r="P25" s="620">
        <v>8030743</v>
      </c>
      <c r="Q25" s="502">
        <f>O25/P25</f>
        <v>0.37627339960947576</v>
      </c>
    </row>
    <row r="26" spans="1:28" ht="18.75" customHeight="1" x14ac:dyDescent="0.2">
      <c r="A26" s="640"/>
      <c r="B26" s="537" t="s">
        <v>148</v>
      </c>
      <c r="C26" s="539">
        <v>0</v>
      </c>
      <c r="D26" s="92">
        <v>582267.32999999996</v>
      </c>
      <c r="E26" s="539">
        <v>582267.32999999996</v>
      </c>
      <c r="F26" s="539">
        <v>647369.21</v>
      </c>
      <c r="G26" s="539">
        <v>517165.4499999999</v>
      </c>
      <c r="H26" s="539">
        <v>582267.32999999996</v>
      </c>
      <c r="I26" s="539"/>
      <c r="J26" s="539"/>
      <c r="K26" s="539"/>
      <c r="L26" s="539"/>
      <c r="M26" s="539"/>
      <c r="N26" s="539"/>
      <c r="O26" s="93">
        <f>SUM(C26:N26)</f>
        <v>2911336.65</v>
      </c>
      <c r="P26" s="621">
        <v>7058033</v>
      </c>
      <c r="Q26" s="502">
        <f t="shared" ref="Q26:Q28" si="8">O26/P26</f>
        <v>0.41248555369463419</v>
      </c>
      <c r="S26" s="183"/>
      <c r="T26" s="183"/>
      <c r="U26" s="215"/>
    </row>
    <row r="27" spans="1:28" ht="18.75" customHeight="1" thickBot="1" x14ac:dyDescent="0.25">
      <c r="A27" s="640"/>
      <c r="B27" s="538" t="s">
        <v>256</v>
      </c>
      <c r="C27" s="539">
        <v>0</v>
      </c>
      <c r="D27" s="92">
        <v>163628.27000000002</v>
      </c>
      <c r="E27" s="539">
        <v>163628.27000000002</v>
      </c>
      <c r="F27" s="539">
        <v>181986.24</v>
      </c>
      <c r="G27" s="539">
        <v>146408.43</v>
      </c>
      <c r="H27" s="539">
        <v>163628.27000000002</v>
      </c>
      <c r="I27" s="539"/>
      <c r="J27" s="539"/>
      <c r="K27" s="539"/>
      <c r="L27" s="539"/>
      <c r="M27" s="539"/>
      <c r="N27" s="539"/>
      <c r="O27" s="93">
        <f>SUM(C27:N27)</f>
        <v>819279.48</v>
      </c>
      <c r="P27" s="622">
        <v>2116047</v>
      </c>
      <c r="Q27" s="502">
        <f t="shared" si="8"/>
        <v>0.38717451928052637</v>
      </c>
      <c r="S27" s="183"/>
      <c r="T27" s="183"/>
      <c r="U27" s="215"/>
    </row>
    <row r="28" spans="1:28" ht="16.149999999999999" customHeight="1" thickBot="1" x14ac:dyDescent="0.25">
      <c r="A28" s="640"/>
      <c r="B28" s="201" t="s">
        <v>150</v>
      </c>
      <c r="C28" s="94">
        <f t="shared" ref="C28:F28" si="9">SUM(C25:C27)</f>
        <v>0</v>
      </c>
      <c r="D28" s="94">
        <f t="shared" si="9"/>
        <v>1346785.45</v>
      </c>
      <c r="E28" s="94">
        <f t="shared" si="9"/>
        <v>1346785.45</v>
      </c>
      <c r="F28" s="94">
        <f t="shared" si="9"/>
        <v>1497793.2299999997</v>
      </c>
      <c r="G28" s="94">
        <f t="shared" ref="G28:H28" si="10">SUM(G25:G27)</f>
        <v>1214221.5199999998</v>
      </c>
      <c r="H28" s="94">
        <f t="shared" si="10"/>
        <v>1346785.45</v>
      </c>
      <c r="I28" s="94"/>
      <c r="J28" s="94"/>
      <c r="K28" s="94"/>
      <c r="L28" s="94"/>
      <c r="M28" s="94"/>
      <c r="N28" s="94"/>
      <c r="O28" s="95">
        <f>SUM(C28:N28)</f>
        <v>6752371.0999999996</v>
      </c>
      <c r="P28" s="95">
        <f>SUM(P25:P27)</f>
        <v>17204823</v>
      </c>
      <c r="Q28" s="503">
        <f t="shared" si="8"/>
        <v>0.39246966388436544</v>
      </c>
      <c r="T28" s="183"/>
      <c r="U28" s="215"/>
    </row>
    <row r="29" spans="1:28" ht="16.149999999999999" customHeight="1" thickBot="1" x14ac:dyDescent="0.25">
      <c r="A29" s="641"/>
      <c r="B29" s="201" t="s">
        <v>151</v>
      </c>
      <c r="C29" s="98">
        <f t="shared" ref="C29:F29" si="11">ROUND(C28/C23,0)</f>
        <v>0</v>
      </c>
      <c r="D29" s="98">
        <f t="shared" si="11"/>
        <v>336696</v>
      </c>
      <c r="E29" s="98">
        <f t="shared" si="11"/>
        <v>336696</v>
      </c>
      <c r="F29" s="98">
        <f t="shared" si="11"/>
        <v>299559</v>
      </c>
      <c r="G29" s="98">
        <f t="shared" ref="G29:H29" si="12">ROUND(G28/G23,0)</f>
        <v>303555</v>
      </c>
      <c r="H29" s="98">
        <f t="shared" si="12"/>
        <v>336696</v>
      </c>
      <c r="I29" s="98"/>
      <c r="J29" s="98"/>
      <c r="K29" s="98"/>
      <c r="L29" s="98"/>
      <c r="M29" s="98"/>
      <c r="N29" s="98"/>
      <c r="O29" s="99">
        <f>ROUND(O28/(O23-SUMIF(C28:N28,0,C23:N23)),2)</f>
        <v>143667.47</v>
      </c>
      <c r="P29" s="99"/>
      <c r="Q29" s="99"/>
      <c r="S29" s="183"/>
      <c r="T29" s="183"/>
      <c r="U29" s="215"/>
    </row>
    <row r="30" spans="1:28" x14ac:dyDescent="0.2">
      <c r="A30" s="540" t="s">
        <v>152</v>
      </c>
      <c r="B30" s="541"/>
      <c r="C30" s="542"/>
      <c r="D30" s="543"/>
      <c r="E30" s="544"/>
      <c r="F30" s="543"/>
      <c r="G30" s="544"/>
      <c r="H30" s="543"/>
      <c r="I30" s="544"/>
      <c r="J30" s="543"/>
      <c r="K30" s="543"/>
      <c r="L30" s="543"/>
      <c r="M30" s="543"/>
      <c r="N30" s="542"/>
      <c r="O30" s="542"/>
      <c r="P30" s="542"/>
      <c r="Q30" s="545"/>
      <c r="S30" s="183"/>
      <c r="T30" s="183"/>
      <c r="U30" s="546"/>
    </row>
    <row r="31" spans="1:28" ht="16.5" customHeight="1" x14ac:dyDescent="0.2">
      <c r="A31" s="836" t="s">
        <v>299</v>
      </c>
      <c r="B31" s="837"/>
      <c r="C31" s="837"/>
      <c r="D31" s="837"/>
      <c r="E31" s="837"/>
      <c r="F31" s="837"/>
      <c r="G31" s="837"/>
      <c r="H31" s="837"/>
      <c r="I31" s="837"/>
      <c r="J31" s="837"/>
      <c r="K31" s="837"/>
      <c r="L31" s="837"/>
      <c r="M31" s="837"/>
      <c r="N31" s="837"/>
      <c r="O31" s="837"/>
      <c r="P31" s="837"/>
      <c r="Q31" s="838"/>
      <c r="S31" s="183"/>
      <c r="T31" s="183"/>
      <c r="U31" s="546"/>
    </row>
    <row r="32" spans="1:28" ht="16.5" customHeight="1" x14ac:dyDescent="0.2">
      <c r="A32" s="836" t="s">
        <v>174</v>
      </c>
      <c r="B32" s="837"/>
      <c r="C32" s="837"/>
      <c r="D32" s="837"/>
      <c r="E32" s="837"/>
      <c r="F32" s="837"/>
      <c r="G32" s="837"/>
      <c r="H32" s="837"/>
      <c r="I32" s="837"/>
      <c r="J32" s="837"/>
      <c r="K32" s="837"/>
      <c r="L32" s="837"/>
      <c r="M32" s="837"/>
      <c r="N32" s="837"/>
      <c r="O32" s="837"/>
      <c r="P32" s="837"/>
      <c r="Q32" s="838"/>
      <c r="S32" s="183"/>
      <c r="T32" s="183"/>
      <c r="U32" s="546"/>
    </row>
    <row r="33" spans="1:18" ht="16.5" customHeight="1" x14ac:dyDescent="0.2">
      <c r="A33" s="836" t="s">
        <v>344</v>
      </c>
      <c r="B33" s="837"/>
      <c r="C33" s="837"/>
      <c r="D33" s="837"/>
      <c r="E33" s="837"/>
      <c r="F33" s="837"/>
      <c r="G33" s="837"/>
      <c r="H33" s="837"/>
      <c r="I33" s="837"/>
      <c r="J33" s="837"/>
      <c r="K33" s="837"/>
      <c r="L33" s="837"/>
      <c r="M33" s="837"/>
      <c r="N33" s="837"/>
      <c r="O33" s="837"/>
      <c r="P33" s="837"/>
      <c r="Q33" s="838"/>
    </row>
    <row r="34" spans="1:18" ht="16.5" customHeight="1" x14ac:dyDescent="0.2">
      <c r="A34" s="839" t="s">
        <v>257</v>
      </c>
      <c r="B34" s="840"/>
      <c r="C34" s="840"/>
      <c r="D34" s="840"/>
      <c r="E34" s="840"/>
      <c r="F34" s="840"/>
      <c r="G34" s="840"/>
      <c r="H34" s="840"/>
      <c r="I34" s="840"/>
      <c r="J34" s="840"/>
      <c r="K34" s="840"/>
      <c r="L34" s="840"/>
      <c r="M34" s="840"/>
      <c r="N34" s="840"/>
      <c r="O34" s="840"/>
      <c r="P34" s="840"/>
      <c r="Q34" s="841"/>
    </row>
    <row r="35" spans="1:18" ht="16.5" customHeight="1" x14ac:dyDescent="0.2">
      <c r="A35" s="777" t="s">
        <v>300</v>
      </c>
      <c r="B35" s="778"/>
      <c r="C35" s="778"/>
      <c r="D35" s="778"/>
      <c r="E35" s="778"/>
      <c r="F35" s="778"/>
      <c r="G35" s="778"/>
      <c r="H35" s="778"/>
      <c r="I35" s="778"/>
      <c r="J35" s="778"/>
      <c r="K35" s="778"/>
      <c r="L35" s="778"/>
      <c r="M35" s="778"/>
      <c r="N35" s="778"/>
      <c r="O35" s="778"/>
      <c r="P35" s="778"/>
      <c r="Q35" s="779"/>
    </row>
    <row r="36" spans="1:18" ht="16.5" customHeight="1" x14ac:dyDescent="0.2">
      <c r="A36" s="777" t="s">
        <v>354</v>
      </c>
      <c r="B36" s="778"/>
      <c r="C36" s="778"/>
      <c r="D36" s="778"/>
      <c r="E36" s="778"/>
      <c r="F36" s="778"/>
      <c r="G36" s="778"/>
      <c r="H36" s="778"/>
      <c r="I36" s="778"/>
      <c r="J36" s="778"/>
      <c r="K36" s="778"/>
      <c r="L36" s="778"/>
      <c r="M36" s="778"/>
      <c r="N36" s="778"/>
      <c r="O36" s="778"/>
      <c r="P36" s="778"/>
      <c r="Q36" s="779"/>
    </row>
    <row r="37" spans="1:18" ht="16.5" customHeight="1" x14ac:dyDescent="0.2">
      <c r="A37" s="777" t="s">
        <v>353</v>
      </c>
      <c r="B37" s="778"/>
      <c r="C37" s="778"/>
      <c r="D37" s="778"/>
      <c r="E37" s="778"/>
      <c r="F37" s="778"/>
      <c r="G37" s="778"/>
      <c r="H37" s="778"/>
      <c r="I37" s="778"/>
      <c r="J37" s="778"/>
      <c r="K37" s="778"/>
      <c r="L37" s="778"/>
      <c r="M37" s="778"/>
      <c r="N37" s="778"/>
      <c r="O37" s="778"/>
      <c r="P37" s="778"/>
      <c r="Q37" s="779"/>
    </row>
    <row r="38" spans="1:18" ht="25.5" x14ac:dyDescent="0.2">
      <c r="A38" s="780" t="s">
        <v>370</v>
      </c>
      <c r="B38" s="781"/>
      <c r="C38" s="781"/>
      <c r="D38" s="781"/>
      <c r="E38" s="781"/>
      <c r="F38" s="781"/>
      <c r="G38" s="781"/>
      <c r="H38" s="781"/>
      <c r="I38" s="781"/>
      <c r="J38" s="781"/>
      <c r="K38" s="781"/>
      <c r="L38" s="781"/>
      <c r="M38" s="781"/>
      <c r="N38" s="781"/>
      <c r="O38" s="781"/>
      <c r="P38" s="781"/>
      <c r="Q38" s="782"/>
      <c r="R38" s="587" t="s">
        <v>306</v>
      </c>
    </row>
    <row r="39" spans="1:18" x14ac:dyDescent="0.2">
      <c r="A39" s="777" t="s">
        <v>371</v>
      </c>
      <c r="B39" s="778"/>
      <c r="C39" s="778"/>
      <c r="D39" s="778"/>
      <c r="E39" s="778"/>
      <c r="F39" s="778"/>
      <c r="G39" s="778"/>
      <c r="H39" s="778"/>
      <c r="I39" s="778"/>
      <c r="J39" s="778"/>
      <c r="K39" s="778"/>
      <c r="L39" s="778"/>
      <c r="M39" s="778"/>
      <c r="N39" s="778"/>
      <c r="O39" s="778"/>
      <c r="P39" s="778"/>
      <c r="Q39" s="779"/>
    </row>
    <row r="40" spans="1:18" ht="16.5" thickBot="1" x14ac:dyDescent="0.25">
      <c r="A40" s="842" t="s">
        <v>372</v>
      </c>
      <c r="B40" s="843"/>
      <c r="C40" s="843"/>
      <c r="D40" s="843"/>
      <c r="E40" s="843"/>
      <c r="F40" s="843"/>
      <c r="G40" s="843"/>
      <c r="H40" s="843"/>
      <c r="I40" s="843"/>
      <c r="J40" s="843"/>
      <c r="K40" s="843"/>
      <c r="L40" s="843"/>
      <c r="M40" s="843"/>
      <c r="N40" s="843"/>
      <c r="O40" s="843"/>
      <c r="P40" s="843"/>
      <c r="Q40" s="844"/>
    </row>
    <row r="61" ht="37.5" customHeight="1" x14ac:dyDescent="0.2"/>
  </sheetData>
  <mergeCells count="25">
    <mergeCell ref="A40:Q40"/>
    <mergeCell ref="A1:Q1"/>
    <mergeCell ref="P2:Q2"/>
    <mergeCell ref="P3:Q3"/>
    <mergeCell ref="P4:Q4"/>
    <mergeCell ref="P5:Q5"/>
    <mergeCell ref="A3:A8"/>
    <mergeCell ref="P6:Q6"/>
    <mergeCell ref="P7:Q7"/>
    <mergeCell ref="P8:Q8"/>
    <mergeCell ref="A39:Q39"/>
    <mergeCell ref="A32:Q32"/>
    <mergeCell ref="A16:A22"/>
    <mergeCell ref="A9:A12"/>
    <mergeCell ref="A14:Q14"/>
    <mergeCell ref="A23:A24"/>
    <mergeCell ref="A25:A29"/>
    <mergeCell ref="A31:Q31"/>
    <mergeCell ref="A36:Q36"/>
    <mergeCell ref="A37:Q37"/>
    <mergeCell ref="A33:Q33"/>
    <mergeCell ref="A38:Q38"/>
    <mergeCell ref="P13:Q13"/>
    <mergeCell ref="A34:Q34"/>
    <mergeCell ref="A35:Q35"/>
  </mergeCells>
  <printOptions horizontalCentered="1" gridLines="1"/>
  <pageMargins left="0.28999999999999998" right="0.28999999999999998" top="0.7" bottom="0.43" header="0.3" footer="0.27"/>
  <pageSetup scale="42"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59"/>
  <sheetViews>
    <sheetView view="pageBreakPreview" zoomScaleNormal="100" zoomScaleSheetLayoutView="100" workbookViewId="0">
      <selection activeCell="I68" sqref="I68"/>
    </sheetView>
  </sheetViews>
  <sheetFormatPr defaultColWidth="9.140625" defaultRowHeight="15.75" x14ac:dyDescent="0.25"/>
  <cols>
    <col min="1" max="1" width="32.85546875" style="16" customWidth="1"/>
    <col min="2" max="2" width="40.28515625" style="16" customWidth="1"/>
    <col min="3" max="3" width="34.42578125" style="16" customWidth="1"/>
    <col min="4" max="4" width="12.140625" style="16" bestFit="1" customWidth="1"/>
    <col min="5" max="5" width="13.7109375" style="16" bestFit="1" customWidth="1"/>
    <col min="6" max="10" width="9.140625" style="16"/>
    <col min="11" max="11" width="13.7109375" style="16" bestFit="1" customWidth="1"/>
    <col min="12" max="12" width="9.140625" style="16"/>
    <col min="13" max="13" width="9.28515625" style="16" bestFit="1" customWidth="1"/>
    <col min="14" max="16384" width="9.140625" style="16"/>
  </cols>
  <sheetData>
    <row r="1" spans="1:5" x14ac:dyDescent="0.25">
      <c r="A1" s="707" t="s">
        <v>327</v>
      </c>
      <c r="B1" s="795"/>
      <c r="C1" s="796"/>
    </row>
    <row r="2" spans="1:5" ht="31.5" x14ac:dyDescent="0.25">
      <c r="A2" s="253"/>
      <c r="B2" s="9" t="s">
        <v>77</v>
      </c>
      <c r="C2" s="254" t="s">
        <v>45</v>
      </c>
    </row>
    <row r="3" spans="1:5" hidden="1" x14ac:dyDescent="0.25">
      <c r="A3" s="493">
        <v>39995</v>
      </c>
      <c r="B3" s="19">
        <v>1202915.42</v>
      </c>
      <c r="C3" s="494">
        <v>4155</v>
      </c>
      <c r="D3" s="15"/>
      <c r="E3" s="15"/>
    </row>
    <row r="4" spans="1:5" hidden="1" x14ac:dyDescent="0.25">
      <c r="A4" s="493">
        <v>40026</v>
      </c>
      <c r="B4" s="19">
        <v>857647.38</v>
      </c>
      <c r="C4" s="494">
        <v>3150</v>
      </c>
      <c r="D4" s="15"/>
      <c r="E4" s="15"/>
    </row>
    <row r="5" spans="1:5" hidden="1" x14ac:dyDescent="0.25">
      <c r="A5" s="493">
        <v>40057</v>
      </c>
      <c r="B5" s="19">
        <v>567423.17000000004</v>
      </c>
      <c r="C5" s="495">
        <v>3172</v>
      </c>
    </row>
    <row r="6" spans="1:5" hidden="1" x14ac:dyDescent="0.25">
      <c r="A6" s="493">
        <v>40087</v>
      </c>
      <c r="B6" s="19">
        <v>586124.01</v>
      </c>
      <c r="C6" s="495">
        <v>3172</v>
      </c>
    </row>
    <row r="7" spans="1:5" hidden="1" x14ac:dyDescent="0.25">
      <c r="A7" s="493">
        <v>40118</v>
      </c>
      <c r="B7" s="19">
        <v>675163.58</v>
      </c>
      <c r="C7" s="495">
        <v>3160</v>
      </c>
    </row>
    <row r="8" spans="1:5" hidden="1" x14ac:dyDescent="0.25">
      <c r="A8" s="493">
        <v>40148</v>
      </c>
      <c r="B8" s="19">
        <v>514901.26</v>
      </c>
      <c r="C8" s="495">
        <v>3175</v>
      </c>
    </row>
    <row r="9" spans="1:5" hidden="1" x14ac:dyDescent="0.25">
      <c r="A9" s="493">
        <v>40179</v>
      </c>
      <c r="B9" s="19">
        <v>617187.38</v>
      </c>
      <c r="C9" s="495">
        <v>3186</v>
      </c>
    </row>
    <row r="10" spans="1:5" hidden="1" x14ac:dyDescent="0.25">
      <c r="A10" s="493">
        <v>40210</v>
      </c>
      <c r="B10" s="19">
        <v>608261.57999999996</v>
      </c>
      <c r="C10" s="495">
        <v>3257</v>
      </c>
    </row>
    <row r="11" spans="1:5" hidden="1" x14ac:dyDescent="0.25">
      <c r="A11" s="493">
        <v>40238</v>
      </c>
      <c r="B11" s="19">
        <v>613887.02</v>
      </c>
      <c r="C11" s="495">
        <v>3349</v>
      </c>
    </row>
    <row r="12" spans="1:5" hidden="1" x14ac:dyDescent="0.25">
      <c r="A12" s="493">
        <v>40269</v>
      </c>
      <c r="B12" s="19">
        <v>590396.07999999996</v>
      </c>
      <c r="C12" s="495">
        <v>3390</v>
      </c>
    </row>
    <row r="13" spans="1:5" hidden="1" x14ac:dyDescent="0.25">
      <c r="A13" s="493">
        <v>40299</v>
      </c>
      <c r="B13" s="19">
        <v>739317.21</v>
      </c>
      <c r="C13" s="495">
        <v>3438</v>
      </c>
    </row>
    <row r="14" spans="1:5" hidden="1" x14ac:dyDescent="0.25">
      <c r="A14" s="493">
        <v>40330</v>
      </c>
      <c r="B14" s="19">
        <v>633411.6</v>
      </c>
      <c r="C14" s="495">
        <v>3479</v>
      </c>
    </row>
    <row r="15" spans="1:5" x14ac:dyDescent="0.25">
      <c r="A15" s="249" t="s">
        <v>3</v>
      </c>
      <c r="B15" s="19">
        <v>33622.03</v>
      </c>
      <c r="C15" s="496">
        <v>100</v>
      </c>
      <c r="D15" s="15"/>
    </row>
    <row r="16" spans="1:5" x14ac:dyDescent="0.25">
      <c r="A16" s="249" t="s">
        <v>4</v>
      </c>
      <c r="B16" s="19">
        <v>53690.249999999993</v>
      </c>
      <c r="C16" s="497">
        <v>103</v>
      </c>
      <c r="D16" s="104"/>
      <c r="E16" s="101"/>
    </row>
    <row r="17" spans="1:5" x14ac:dyDescent="0.25">
      <c r="A17" s="249" t="s">
        <v>5</v>
      </c>
      <c r="B17" s="19">
        <v>43626.55</v>
      </c>
      <c r="C17" s="497">
        <v>114</v>
      </c>
      <c r="D17" s="104"/>
      <c r="E17" s="101"/>
    </row>
    <row r="18" spans="1:5" x14ac:dyDescent="0.25">
      <c r="A18" s="249" t="s">
        <v>6</v>
      </c>
      <c r="B18" s="19">
        <v>50008.010000000009</v>
      </c>
      <c r="C18" s="497">
        <v>102</v>
      </c>
      <c r="D18" s="104"/>
      <c r="E18" s="101"/>
    </row>
    <row r="19" spans="1:5" x14ac:dyDescent="0.25">
      <c r="A19" s="249" t="s">
        <v>7</v>
      </c>
      <c r="B19" s="19">
        <v>22826.809999999998</v>
      </c>
      <c r="C19" s="497">
        <v>101</v>
      </c>
      <c r="D19" s="104"/>
      <c r="E19" s="101"/>
    </row>
    <row r="20" spans="1:5" x14ac:dyDescent="0.25">
      <c r="A20" s="249" t="s">
        <v>8</v>
      </c>
      <c r="B20" s="19">
        <v>23825.170000000006</v>
      </c>
      <c r="C20" s="497">
        <v>106</v>
      </c>
      <c r="D20" s="104"/>
      <c r="E20" s="101"/>
    </row>
    <row r="21" spans="1:5" x14ac:dyDescent="0.25">
      <c r="A21" s="249" t="s">
        <v>9</v>
      </c>
      <c r="B21" s="635"/>
      <c r="C21" s="495"/>
      <c r="D21" s="104"/>
      <c r="E21" s="101"/>
    </row>
    <row r="22" spans="1:5" x14ac:dyDescent="0.25">
      <c r="A22" s="249" t="s">
        <v>10</v>
      </c>
      <c r="B22" s="635"/>
      <c r="C22" s="495"/>
      <c r="D22" s="104"/>
    </row>
    <row r="23" spans="1:5" x14ac:dyDescent="0.25">
      <c r="A23" s="249" t="s">
        <v>11</v>
      </c>
      <c r="B23" s="636"/>
      <c r="C23" s="601"/>
      <c r="D23" s="104"/>
    </row>
    <row r="24" spans="1:5" x14ac:dyDescent="0.25">
      <c r="A24" s="249" t="s">
        <v>12</v>
      </c>
      <c r="B24" s="636"/>
      <c r="C24" s="601"/>
      <c r="D24" s="104"/>
    </row>
    <row r="25" spans="1:5" x14ac:dyDescent="0.25">
      <c r="A25" s="249" t="s">
        <v>13</v>
      </c>
      <c r="B25" s="636"/>
      <c r="C25" s="601"/>
      <c r="D25" s="104"/>
    </row>
    <row r="26" spans="1:5" x14ac:dyDescent="0.25">
      <c r="A26" s="251" t="s">
        <v>25</v>
      </c>
      <c r="B26" s="637"/>
      <c r="C26" s="604"/>
      <c r="D26" s="104"/>
    </row>
    <row r="27" spans="1:5" x14ac:dyDescent="0.25">
      <c r="A27" s="255" t="s">
        <v>47</v>
      </c>
      <c r="B27" s="23">
        <f>SUM(B15:B26)</f>
        <v>227598.82000000004</v>
      </c>
      <c r="C27" s="499">
        <f>IFERROR(ROUND(AVERAGE(C15:C26),0),0)</f>
        <v>104</v>
      </c>
      <c r="D27" s="105"/>
      <c r="E27" s="103"/>
    </row>
    <row r="28" spans="1:5" x14ac:dyDescent="0.25">
      <c r="A28" s="238" t="s">
        <v>35</v>
      </c>
      <c r="B28" s="19">
        <v>10000000</v>
      </c>
      <c r="C28" s="500"/>
    </row>
    <row r="29" spans="1:5" ht="16.5" thickBot="1" x14ac:dyDescent="0.3">
      <c r="A29" s="553" t="s">
        <v>23</v>
      </c>
      <c r="B29" s="23">
        <f>B28-B27</f>
        <v>9772401.1799999997</v>
      </c>
      <c r="C29" s="501"/>
    </row>
    <row r="30" spans="1:5" x14ac:dyDescent="0.25">
      <c r="A30" s="735" t="s">
        <v>24</v>
      </c>
      <c r="B30" s="736"/>
      <c r="C30" s="737"/>
    </row>
    <row r="31" spans="1:5" ht="27" customHeight="1" x14ac:dyDescent="0.25">
      <c r="A31" s="828" t="s">
        <v>291</v>
      </c>
      <c r="B31" s="827"/>
      <c r="C31" s="829"/>
    </row>
    <row r="32" spans="1:5" ht="15" customHeight="1" x14ac:dyDescent="0.25">
      <c r="A32" s="881" t="s">
        <v>375</v>
      </c>
      <c r="B32" s="880"/>
      <c r="C32" s="882"/>
    </row>
    <row r="33" spans="1:10" s="461" customFormat="1" ht="27" customHeight="1" x14ac:dyDescent="0.25">
      <c r="A33" s="756" t="s">
        <v>374</v>
      </c>
      <c r="B33" s="757"/>
      <c r="C33" s="758"/>
    </row>
    <row r="34" spans="1:10" x14ac:dyDescent="0.25">
      <c r="A34" s="756" t="s">
        <v>376</v>
      </c>
      <c r="B34" s="757"/>
      <c r="C34" s="758"/>
      <c r="D34" s="848"/>
      <c r="E34" s="848"/>
      <c r="F34" s="848"/>
      <c r="G34" s="848"/>
      <c r="H34" s="848"/>
      <c r="I34" s="848"/>
      <c r="J34" s="15"/>
    </row>
    <row r="35" spans="1:10" ht="51.75" x14ac:dyDescent="0.25">
      <c r="A35" s="846" t="s">
        <v>377</v>
      </c>
      <c r="B35" s="845"/>
      <c r="C35" s="847"/>
      <c r="D35" s="585" t="s">
        <v>310</v>
      </c>
    </row>
    <row r="36" spans="1:10" ht="39.75" thickBot="1" x14ac:dyDescent="0.3">
      <c r="A36" s="842" t="s">
        <v>373</v>
      </c>
      <c r="B36" s="843"/>
      <c r="C36" s="844"/>
      <c r="D36" s="585" t="s">
        <v>309</v>
      </c>
    </row>
    <row r="39" spans="1:10" x14ac:dyDescent="0.25">
      <c r="B39" s="175"/>
    </row>
    <row r="40" spans="1:10" x14ac:dyDescent="0.25">
      <c r="B40" s="175"/>
    </row>
    <row r="41" spans="1:10" x14ac:dyDescent="0.25">
      <c r="B41" s="175"/>
    </row>
    <row r="42" spans="1:10" x14ac:dyDescent="0.25">
      <c r="B42" s="175"/>
    </row>
    <row r="43" spans="1:10" x14ac:dyDescent="0.25">
      <c r="B43" s="175"/>
    </row>
    <row r="59" ht="37.5" customHeight="1" x14ac:dyDescent="0.25"/>
  </sheetData>
  <mergeCells count="8">
    <mergeCell ref="A36:C36"/>
    <mergeCell ref="A35:C35"/>
    <mergeCell ref="A34:C34"/>
    <mergeCell ref="A33:C33"/>
    <mergeCell ref="A32:C32"/>
    <mergeCell ref="A1:C1"/>
    <mergeCell ref="A30:C30"/>
    <mergeCell ref="A31:C31"/>
  </mergeCells>
  <phoneticPr fontId="19" type="noConversion"/>
  <printOptions horizontalCentered="1" gridLines="1"/>
  <pageMargins left="0.28999999999999998" right="0.28999999999999998" top="0.7" bottom="0.43" header="0.3" footer="0.27"/>
  <pageSetup scale="105" firstPageNumber="8"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60"/>
  <sheetViews>
    <sheetView view="pageBreakPreview" zoomScaleNormal="100" zoomScaleSheetLayoutView="100" workbookViewId="0">
      <selection activeCell="I68" sqref="I68"/>
    </sheetView>
  </sheetViews>
  <sheetFormatPr defaultColWidth="9.140625" defaultRowHeight="15.75" x14ac:dyDescent="0.25"/>
  <cols>
    <col min="1" max="1" width="31.5703125" style="16" customWidth="1"/>
    <col min="2" max="2" width="42" style="16" customWidth="1"/>
    <col min="3" max="3" width="45" style="16" customWidth="1"/>
    <col min="4" max="4" width="15.140625" style="16" bestFit="1" customWidth="1"/>
    <col min="5" max="5" width="12.7109375" style="101" customWidth="1"/>
    <col min="6" max="6" width="9.140625" style="16"/>
    <col min="7" max="7" width="41.42578125" style="16" customWidth="1"/>
    <col min="8" max="10" width="9.140625" style="16"/>
    <col min="11" max="11" width="13.7109375" style="16" bestFit="1" customWidth="1"/>
    <col min="12" max="12" width="9.140625" style="16"/>
    <col min="13" max="13" width="9.28515625" style="16" bestFit="1" customWidth="1"/>
    <col min="14" max="16384" width="9.140625" style="16"/>
  </cols>
  <sheetData>
    <row r="1" spans="1:7" x14ac:dyDescent="0.25">
      <c r="A1" s="707" t="s">
        <v>328</v>
      </c>
      <c r="B1" s="795"/>
      <c r="C1" s="796"/>
    </row>
    <row r="2" spans="1:7" ht="31.5" x14ac:dyDescent="0.25">
      <c r="A2" s="253"/>
      <c r="B2" s="9" t="s">
        <v>77</v>
      </c>
      <c r="C2" s="254" t="s">
        <v>48</v>
      </c>
    </row>
    <row r="3" spans="1:7" x14ac:dyDescent="0.25">
      <c r="A3" s="249" t="s">
        <v>3</v>
      </c>
      <c r="B3" s="19">
        <f>ROUND(12189505.37,0)</f>
        <v>12189505</v>
      </c>
      <c r="C3" s="494">
        <v>75744</v>
      </c>
      <c r="D3" s="15"/>
      <c r="E3" s="15"/>
    </row>
    <row r="4" spans="1:7" x14ac:dyDescent="0.25">
      <c r="A4" s="249" t="s">
        <v>4</v>
      </c>
      <c r="B4" s="19">
        <f>ROUND(11943231.24,0)</f>
        <v>11943231</v>
      </c>
      <c r="C4" s="494">
        <v>76011</v>
      </c>
      <c r="D4" s="15"/>
      <c r="E4" s="32"/>
    </row>
    <row r="5" spans="1:7" x14ac:dyDescent="0.25">
      <c r="A5" s="249" t="s">
        <v>5</v>
      </c>
      <c r="B5" s="19">
        <f>ROUND(12030027.3,0)</f>
        <v>12030027</v>
      </c>
      <c r="C5" s="495">
        <v>75758</v>
      </c>
      <c r="E5" s="32"/>
    </row>
    <row r="6" spans="1:7" x14ac:dyDescent="0.25">
      <c r="A6" s="249" t="s">
        <v>6</v>
      </c>
      <c r="B6" s="19">
        <f>ROUND(-112823.189999999+12189505.37,0)</f>
        <v>12076682</v>
      </c>
      <c r="C6" s="495">
        <f>77439-677</f>
        <v>76762</v>
      </c>
      <c r="E6" s="32"/>
    </row>
    <row r="7" spans="1:7" x14ac:dyDescent="0.25">
      <c r="A7" s="249" t="s">
        <v>7</v>
      </c>
      <c r="B7" s="19">
        <v>12038797.33</v>
      </c>
      <c r="C7" s="495">
        <f>76551-679</f>
        <v>75872</v>
      </c>
      <c r="E7" s="32"/>
    </row>
    <row r="8" spans="1:7" x14ac:dyDescent="0.25">
      <c r="A8" s="249" t="s">
        <v>8</v>
      </c>
      <c r="B8" s="19">
        <v>12195972.15</v>
      </c>
      <c r="C8" s="495"/>
      <c r="E8" s="32"/>
    </row>
    <row r="9" spans="1:7" x14ac:dyDescent="0.25">
      <c r="A9" s="249" t="s">
        <v>9</v>
      </c>
      <c r="B9" s="19"/>
      <c r="C9" s="495"/>
      <c r="E9" s="32"/>
      <c r="G9" s="100"/>
    </row>
    <row r="10" spans="1:7" x14ac:dyDescent="0.25">
      <c r="A10" s="249" t="s">
        <v>10</v>
      </c>
      <c r="B10" s="19"/>
      <c r="C10" s="495"/>
      <c r="E10" s="32"/>
    </row>
    <row r="11" spans="1:7" x14ac:dyDescent="0.25">
      <c r="A11" s="249" t="s">
        <v>11</v>
      </c>
      <c r="B11" s="19"/>
      <c r="C11" s="495"/>
      <c r="E11" s="32"/>
      <c r="F11" s="17"/>
    </row>
    <row r="12" spans="1:7" x14ac:dyDescent="0.25">
      <c r="A12" s="249" t="s">
        <v>12</v>
      </c>
      <c r="B12" s="19"/>
      <c r="C12" s="495"/>
      <c r="E12" s="32"/>
      <c r="F12" s="17"/>
    </row>
    <row r="13" spans="1:7" x14ac:dyDescent="0.25">
      <c r="A13" s="249" t="s">
        <v>13</v>
      </c>
      <c r="B13" s="19"/>
      <c r="C13" s="494"/>
      <c r="E13" s="32"/>
    </row>
    <row r="14" spans="1:7" x14ac:dyDescent="0.25">
      <c r="A14" s="251" t="s">
        <v>25</v>
      </c>
      <c r="B14" s="64"/>
      <c r="C14" s="498"/>
      <c r="E14" s="32"/>
    </row>
    <row r="15" spans="1:7" x14ac:dyDescent="0.25">
      <c r="A15" s="255" t="s">
        <v>47</v>
      </c>
      <c r="B15" s="23">
        <f>SUM(B3:B14)</f>
        <v>72474214.480000004</v>
      </c>
      <c r="C15" s="499">
        <f>IFERROR(ROUND(AVERAGE(C3:C14),0),0)</f>
        <v>76029</v>
      </c>
      <c r="D15" s="102"/>
    </row>
    <row r="16" spans="1:7" x14ac:dyDescent="0.25">
      <c r="A16" s="238" t="s">
        <v>35</v>
      </c>
      <c r="B16" s="618">
        <v>148950319</v>
      </c>
      <c r="C16" s="500">
        <v>76716</v>
      </c>
      <c r="D16" s="103"/>
      <c r="E16" s="165"/>
    </row>
    <row r="17" spans="1:4" ht="16.5" thickBot="1" x14ac:dyDescent="0.3">
      <c r="A17" s="553" t="s">
        <v>23</v>
      </c>
      <c r="B17" s="23">
        <f>B16-B15</f>
        <v>76476104.519999996</v>
      </c>
      <c r="C17" s="501"/>
    </row>
    <row r="18" spans="1:4" x14ac:dyDescent="0.25">
      <c r="A18" s="735" t="s">
        <v>24</v>
      </c>
      <c r="B18" s="736"/>
      <c r="C18" s="737"/>
    </row>
    <row r="19" spans="1:4" ht="39" customHeight="1" x14ac:dyDescent="0.25">
      <c r="A19" s="883" t="s">
        <v>156</v>
      </c>
      <c r="B19" s="884"/>
      <c r="C19" s="885"/>
    </row>
    <row r="20" spans="1:4" ht="24.75" customHeight="1" x14ac:dyDescent="0.25">
      <c r="A20" s="886" t="s">
        <v>157</v>
      </c>
      <c r="B20" s="887"/>
      <c r="C20" s="888"/>
    </row>
    <row r="21" spans="1:4" x14ac:dyDescent="0.25">
      <c r="A21" s="886" t="s">
        <v>123</v>
      </c>
      <c r="B21" s="887"/>
      <c r="C21" s="888"/>
    </row>
    <row r="22" spans="1:4" ht="16.5" thickBot="1" x14ac:dyDescent="0.3">
      <c r="A22" s="759" t="s">
        <v>341</v>
      </c>
      <c r="B22" s="760"/>
      <c r="C22" s="761"/>
      <c r="D22" s="585" t="s">
        <v>336</v>
      </c>
    </row>
    <row r="23" spans="1:4" x14ac:dyDescent="0.25">
      <c r="A23" s="797"/>
      <c r="B23" s="797"/>
      <c r="C23" s="797"/>
    </row>
    <row r="25" spans="1:4" x14ac:dyDescent="0.25">
      <c r="A25" s="723"/>
      <c r="B25" s="723"/>
      <c r="C25" s="723"/>
    </row>
    <row r="29" spans="1:4" x14ac:dyDescent="0.25">
      <c r="A29" s="350"/>
      <c r="B29" s="174"/>
    </row>
    <row r="30" spans="1:4" x14ac:dyDescent="0.25">
      <c r="A30" s="350"/>
      <c r="B30" s="174"/>
    </row>
    <row r="31" spans="1:4" x14ac:dyDescent="0.25">
      <c r="B31" s="174"/>
    </row>
    <row r="32" spans="1:4" x14ac:dyDescent="0.25">
      <c r="B32" s="174"/>
    </row>
    <row r="33" spans="2:2" x14ac:dyDescent="0.25">
      <c r="B33" s="174"/>
    </row>
    <row r="35" spans="2:2" x14ac:dyDescent="0.25">
      <c r="B35" s="548"/>
    </row>
    <row r="36" spans="2:2" x14ac:dyDescent="0.25">
      <c r="B36" s="548"/>
    </row>
    <row r="60" ht="37.5" customHeight="1" x14ac:dyDescent="0.25"/>
  </sheetData>
  <mergeCells count="8">
    <mergeCell ref="A21:C21"/>
    <mergeCell ref="A1:C1"/>
    <mergeCell ref="A18:C18"/>
    <mergeCell ref="A19:C19"/>
    <mergeCell ref="A25:C25"/>
    <mergeCell ref="A20:C20"/>
    <mergeCell ref="A22:C22"/>
    <mergeCell ref="A23:C23"/>
  </mergeCells>
  <phoneticPr fontId="19"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2:R117"/>
  <sheetViews>
    <sheetView workbookViewId="0"/>
  </sheetViews>
  <sheetFormatPr defaultColWidth="36.7109375" defaultRowHeight="15.75" x14ac:dyDescent="0.2"/>
  <cols>
    <col min="1" max="1" width="16.5703125" style="396" customWidth="1"/>
    <col min="2" max="2" width="19.140625" style="396" customWidth="1"/>
    <col min="3" max="3" width="13" style="396" customWidth="1"/>
    <col min="4" max="4" width="36.7109375" style="396"/>
    <col min="5" max="5" width="14.42578125" style="430" bestFit="1" customWidth="1"/>
    <col min="6" max="8" width="15.7109375" style="430" bestFit="1" customWidth="1"/>
    <col min="9" max="9" width="14.28515625" style="430" bestFit="1" customWidth="1"/>
    <col min="10" max="10" width="15.7109375" style="430" bestFit="1" customWidth="1"/>
    <col min="11" max="11" width="14.28515625" style="430" bestFit="1" customWidth="1"/>
    <col min="12" max="16" width="15.7109375" style="430" bestFit="1" customWidth="1"/>
    <col min="17" max="17" width="18.7109375" style="430" customWidth="1"/>
    <col min="18" max="16384" width="36.7109375" style="396"/>
  </cols>
  <sheetData>
    <row r="2" spans="2:18" ht="16.5" thickBot="1" x14ac:dyDescent="0.25">
      <c r="B2" s="798" t="s">
        <v>270</v>
      </c>
      <c r="C2" s="798"/>
      <c r="D2" s="798"/>
      <c r="E2" s="798"/>
      <c r="F2" s="798"/>
      <c r="G2" s="798"/>
      <c r="H2" s="798"/>
      <c r="I2" s="798"/>
      <c r="J2" s="798"/>
      <c r="K2" s="798"/>
      <c r="L2" s="798"/>
      <c r="M2" s="798"/>
      <c r="N2" s="798"/>
      <c r="O2" s="798"/>
      <c r="P2" s="798"/>
      <c r="Q2" s="798"/>
    </row>
    <row r="3" spans="2:18" ht="16.5" thickBot="1" x14ac:dyDescent="0.25">
      <c r="B3" s="397" t="s">
        <v>271</v>
      </c>
      <c r="C3" s="799" t="s">
        <v>49</v>
      </c>
      <c r="D3" s="800"/>
      <c r="E3" s="398">
        <v>41456</v>
      </c>
      <c r="F3" s="399">
        <v>41487</v>
      </c>
      <c r="G3" s="399">
        <v>41518</v>
      </c>
      <c r="H3" s="399">
        <v>41548</v>
      </c>
      <c r="I3" s="399">
        <v>41579</v>
      </c>
      <c r="J3" s="399">
        <v>41609</v>
      </c>
      <c r="K3" s="399">
        <v>41640</v>
      </c>
      <c r="L3" s="399">
        <v>41671</v>
      </c>
      <c r="M3" s="399">
        <v>41699</v>
      </c>
      <c r="N3" s="399">
        <v>41730</v>
      </c>
      <c r="O3" s="399">
        <v>41760</v>
      </c>
      <c r="P3" s="440">
        <v>41791</v>
      </c>
      <c r="Q3" s="431" t="s">
        <v>272</v>
      </c>
      <c r="R3" s="401"/>
    </row>
    <row r="4" spans="2:18" x14ac:dyDescent="0.2">
      <c r="B4" s="801" t="s">
        <v>273</v>
      </c>
      <c r="C4" s="804" t="s">
        <v>274</v>
      </c>
      <c r="D4" s="402" t="s">
        <v>50</v>
      </c>
      <c r="E4" s="403"/>
      <c r="F4" s="403"/>
      <c r="G4" s="403"/>
      <c r="H4" s="403"/>
      <c r="I4" s="403"/>
      <c r="J4" s="403"/>
      <c r="K4" s="403">
        <v>4608875.58</v>
      </c>
      <c r="L4" s="403">
        <v>8275700.4000000004</v>
      </c>
      <c r="M4" s="403">
        <v>9576439.0700000022</v>
      </c>
      <c r="N4" s="403">
        <v>12204044.729999999</v>
      </c>
      <c r="O4" s="403">
        <v>9470911.6600000001</v>
      </c>
      <c r="P4" s="441">
        <v>13799106.719999999</v>
      </c>
      <c r="Q4" s="432">
        <f>SUM(E4:P4)</f>
        <v>57935078.159999996</v>
      </c>
      <c r="R4" s="401" t="b">
        <v>1</v>
      </c>
    </row>
    <row r="5" spans="2:18" x14ac:dyDescent="0.2">
      <c r="B5" s="802"/>
      <c r="C5" s="805"/>
      <c r="D5" s="405" t="s">
        <v>275</v>
      </c>
      <c r="E5" s="406"/>
      <c r="F5" s="406"/>
      <c r="G5" s="406"/>
      <c r="H5" s="406"/>
      <c r="I5" s="406"/>
      <c r="J5" s="406"/>
      <c r="K5" s="406">
        <v>1270.6199999999999</v>
      </c>
      <c r="L5" s="406">
        <v>4689.99</v>
      </c>
      <c r="M5" s="406">
        <v>11120.67</v>
      </c>
      <c r="N5" s="406">
        <v>12772.1</v>
      </c>
      <c r="O5" s="406">
        <v>7778.6</v>
      </c>
      <c r="P5" s="442">
        <v>9347.32</v>
      </c>
      <c r="Q5" s="433">
        <f t="shared" ref="Q5:Q12" si="0">SUM(E5:P5)</f>
        <v>46979.299999999996</v>
      </c>
      <c r="R5" s="401" t="b">
        <v>1</v>
      </c>
    </row>
    <row r="6" spans="2:18" x14ac:dyDescent="0.2">
      <c r="B6" s="802"/>
      <c r="C6" s="805"/>
      <c r="D6" s="405" t="s">
        <v>68</v>
      </c>
      <c r="E6" s="406"/>
      <c r="F6" s="406"/>
      <c r="G6" s="406"/>
      <c r="H6" s="406"/>
      <c r="I6" s="406"/>
      <c r="J6" s="406"/>
      <c r="K6" s="406">
        <v>0</v>
      </c>
      <c r="L6" s="406">
        <v>0</v>
      </c>
      <c r="M6" s="406">
        <v>0</v>
      </c>
      <c r="N6" s="406">
        <v>0</v>
      </c>
      <c r="O6" s="406">
        <v>0</v>
      </c>
      <c r="P6" s="442">
        <v>0</v>
      </c>
      <c r="Q6" s="433">
        <f t="shared" si="0"/>
        <v>0</v>
      </c>
      <c r="R6" s="401" t="b">
        <v>1</v>
      </c>
    </row>
    <row r="7" spans="2:18" ht="16.5" thickBot="1" x14ac:dyDescent="0.25">
      <c r="B7" s="802"/>
      <c r="C7" s="805"/>
      <c r="D7" s="408" t="s">
        <v>276</v>
      </c>
      <c r="E7" s="409"/>
      <c r="F7" s="409"/>
      <c r="G7" s="409"/>
      <c r="H7" s="409"/>
      <c r="I7" s="409"/>
      <c r="J7" s="409"/>
      <c r="K7" s="409">
        <v>323992.44</v>
      </c>
      <c r="L7" s="409">
        <v>310333.81</v>
      </c>
      <c r="M7" s="409">
        <v>334712.8</v>
      </c>
      <c r="N7" s="409">
        <v>361267.98</v>
      </c>
      <c r="O7" s="409">
        <v>361084.46</v>
      </c>
      <c r="P7" s="443">
        <v>409296.9</v>
      </c>
      <c r="Q7" s="434">
        <f t="shared" si="0"/>
        <v>2100688.39</v>
      </c>
      <c r="R7" s="401" t="b">
        <v>1</v>
      </c>
    </row>
    <row r="8" spans="2:18" ht="17.25" hidden="1" thickTop="1" thickBot="1" x14ac:dyDescent="0.25">
      <c r="B8" s="802"/>
      <c r="C8" s="805"/>
      <c r="D8" s="411" t="s">
        <v>73</v>
      </c>
      <c r="E8" s="412"/>
      <c r="F8" s="412"/>
      <c r="G8" s="412"/>
      <c r="H8" s="412"/>
      <c r="I8" s="412"/>
      <c r="J8" s="412"/>
      <c r="K8" s="412">
        <v>0</v>
      </c>
      <c r="L8" s="412">
        <v>0</v>
      </c>
      <c r="M8" s="412">
        <v>0</v>
      </c>
      <c r="N8" s="412">
        <v>0</v>
      </c>
      <c r="O8" s="412">
        <v>0</v>
      </c>
      <c r="P8" s="444">
        <v>0</v>
      </c>
      <c r="Q8" s="435">
        <f t="shared" si="0"/>
        <v>0</v>
      </c>
      <c r="R8" s="401" t="b">
        <v>1</v>
      </c>
    </row>
    <row r="9" spans="2:18" ht="17.25" thickTop="1" thickBot="1" x14ac:dyDescent="0.25">
      <c r="B9" s="802"/>
      <c r="C9" s="806"/>
      <c r="D9" s="413" t="s">
        <v>277</v>
      </c>
      <c r="E9" s="414"/>
      <c r="F9" s="414"/>
      <c r="G9" s="414"/>
      <c r="H9" s="414"/>
      <c r="I9" s="414"/>
      <c r="J9" s="414"/>
      <c r="K9" s="414">
        <f t="shared" ref="K9:P9" si="1">SUM(K4:K8)</f>
        <v>4934138.6400000006</v>
      </c>
      <c r="L9" s="414">
        <f t="shared" si="1"/>
        <v>8590724.2000000011</v>
      </c>
      <c r="M9" s="414">
        <f t="shared" si="1"/>
        <v>9922272.5400000028</v>
      </c>
      <c r="N9" s="414">
        <f t="shared" si="1"/>
        <v>12578084.809999999</v>
      </c>
      <c r="O9" s="414">
        <f t="shared" si="1"/>
        <v>9839774.7200000007</v>
      </c>
      <c r="P9" s="445">
        <f t="shared" si="1"/>
        <v>14217750.939999999</v>
      </c>
      <c r="Q9" s="436">
        <f t="shared" si="0"/>
        <v>60082745.849999994</v>
      </c>
      <c r="R9" s="401" t="b">
        <v>1</v>
      </c>
    </row>
    <row r="10" spans="2:18" x14ac:dyDescent="0.2">
      <c r="B10" s="802"/>
      <c r="C10" s="807" t="s">
        <v>278</v>
      </c>
      <c r="D10" s="808"/>
      <c r="E10" s="415"/>
      <c r="F10" s="415"/>
      <c r="G10" s="415"/>
      <c r="H10" s="415"/>
      <c r="I10" s="415"/>
      <c r="J10" s="415"/>
      <c r="K10" s="406">
        <v>0</v>
      </c>
      <c r="L10" s="415">
        <v>0</v>
      </c>
      <c r="M10" s="415">
        <v>0</v>
      </c>
      <c r="N10" s="415">
        <v>0</v>
      </c>
      <c r="O10" s="415">
        <v>0</v>
      </c>
      <c r="P10" s="446">
        <v>0</v>
      </c>
      <c r="Q10" s="437">
        <f t="shared" si="0"/>
        <v>0</v>
      </c>
      <c r="R10" s="401" t="b">
        <v>1</v>
      </c>
    </row>
    <row r="11" spans="2:18" ht="16.5" thickBot="1" x14ac:dyDescent="0.25">
      <c r="B11" s="802"/>
      <c r="C11" s="809" t="s">
        <v>279</v>
      </c>
      <c r="D11" s="810"/>
      <c r="E11" s="409"/>
      <c r="F11" s="409"/>
      <c r="G11" s="409"/>
      <c r="H11" s="409"/>
      <c r="I11" s="409"/>
      <c r="J11" s="409"/>
      <c r="K11" s="409">
        <v>0</v>
      </c>
      <c r="L11" s="409">
        <v>0</v>
      </c>
      <c r="M11" s="409">
        <v>394.5</v>
      </c>
      <c r="N11" s="409">
        <v>0</v>
      </c>
      <c r="O11" s="409">
        <v>0</v>
      </c>
      <c r="P11" s="443">
        <v>52.28</v>
      </c>
      <c r="Q11" s="434">
        <f t="shared" si="0"/>
        <v>446.78</v>
      </c>
      <c r="R11" s="401" t="b">
        <v>1</v>
      </c>
    </row>
    <row r="12" spans="2:18" ht="16.5" thickTop="1" x14ac:dyDescent="0.2">
      <c r="B12" s="802"/>
      <c r="C12" s="807" t="s">
        <v>127</v>
      </c>
      <c r="D12" s="808"/>
      <c r="E12" s="417"/>
      <c r="F12" s="417"/>
      <c r="G12" s="417"/>
      <c r="H12" s="417"/>
      <c r="I12" s="417"/>
      <c r="J12" s="417"/>
      <c r="K12" s="417">
        <f t="shared" ref="K12:P12" si="2">K9+K10+K11</f>
        <v>4934138.6400000006</v>
      </c>
      <c r="L12" s="417">
        <f t="shared" si="2"/>
        <v>8590724.2000000011</v>
      </c>
      <c r="M12" s="417">
        <f t="shared" si="2"/>
        <v>9922667.0400000028</v>
      </c>
      <c r="N12" s="417">
        <f t="shared" si="2"/>
        <v>12578084.809999999</v>
      </c>
      <c r="O12" s="417">
        <f t="shared" si="2"/>
        <v>9839774.7200000007</v>
      </c>
      <c r="P12" s="447">
        <f t="shared" si="2"/>
        <v>14217803.219999999</v>
      </c>
      <c r="Q12" s="437">
        <f t="shared" si="0"/>
        <v>60083192.629999995</v>
      </c>
      <c r="R12" s="401" t="b">
        <v>1</v>
      </c>
    </row>
    <row r="13" spans="2:18" x14ac:dyDescent="0.2">
      <c r="B13" s="802"/>
      <c r="C13" s="811" t="s">
        <v>115</v>
      </c>
      <c r="D13" s="812"/>
      <c r="E13" s="418"/>
      <c r="F13" s="418"/>
      <c r="G13" s="418"/>
      <c r="H13" s="418"/>
      <c r="I13" s="418"/>
      <c r="J13" s="418"/>
      <c r="K13" s="418">
        <v>38413</v>
      </c>
      <c r="L13" s="418">
        <v>40465</v>
      </c>
      <c r="M13" s="418">
        <v>44348</v>
      </c>
      <c r="N13" s="418">
        <v>47215</v>
      </c>
      <c r="O13" s="418">
        <v>48526</v>
      </c>
      <c r="P13" s="448">
        <v>51279</v>
      </c>
      <c r="Q13" s="438">
        <f>AVERAGE(E13:P13)</f>
        <v>45041</v>
      </c>
      <c r="R13" s="401" t="b">
        <v>1</v>
      </c>
    </row>
    <row r="14" spans="2:18" ht="16.5" thickBot="1" x14ac:dyDescent="0.25">
      <c r="B14" s="803"/>
      <c r="C14" s="813" t="s">
        <v>280</v>
      </c>
      <c r="D14" s="814"/>
      <c r="E14" s="420"/>
      <c r="F14" s="421"/>
      <c r="G14" s="421"/>
      <c r="H14" s="421"/>
      <c r="I14" s="421"/>
      <c r="J14" s="421"/>
      <c r="K14" s="422">
        <v>128.44970817171273</v>
      </c>
      <c r="L14" s="422">
        <v>212.30011614975908</v>
      </c>
      <c r="M14" s="422">
        <v>223.74553621358353</v>
      </c>
      <c r="N14" s="422">
        <v>266.40018659324363</v>
      </c>
      <c r="O14" s="422">
        <v>202.77324980422867</v>
      </c>
      <c r="P14" s="449">
        <v>277.26365997776867</v>
      </c>
      <c r="Q14" s="451">
        <f t="shared" ref="Q14" si="3">Q12/Q13</f>
        <v>1333.96666659266</v>
      </c>
      <c r="R14" s="401" t="b">
        <v>1</v>
      </c>
    </row>
    <row r="15" spans="2:18" ht="15.75" customHeight="1" x14ac:dyDescent="0.2">
      <c r="B15" s="801" t="s">
        <v>136</v>
      </c>
      <c r="C15" s="804" t="s">
        <v>274</v>
      </c>
      <c r="D15" s="402" t="s">
        <v>50</v>
      </c>
      <c r="E15" s="403"/>
      <c r="F15" s="403"/>
      <c r="G15" s="403"/>
      <c r="H15" s="403"/>
      <c r="I15" s="403"/>
      <c r="J15" s="403"/>
      <c r="K15" s="403">
        <v>11457167.18</v>
      </c>
      <c r="L15" s="403">
        <v>31284953.710000005</v>
      </c>
      <c r="M15" s="403">
        <v>42431585.569999993</v>
      </c>
      <c r="N15" s="403">
        <v>61804746.140000001</v>
      </c>
      <c r="O15" s="403">
        <v>50688450.969999999</v>
      </c>
      <c r="P15" s="441">
        <v>72888903.719999984</v>
      </c>
      <c r="Q15" s="432">
        <f>SUM(E15:P15)</f>
        <v>270555807.28999996</v>
      </c>
      <c r="R15" s="401" t="b">
        <v>1</v>
      </c>
    </row>
    <row r="16" spans="2:18" x14ac:dyDescent="0.2">
      <c r="B16" s="802"/>
      <c r="C16" s="805"/>
      <c r="D16" s="405" t="s">
        <v>275</v>
      </c>
      <c r="E16" s="406"/>
      <c r="F16" s="406"/>
      <c r="G16" s="406"/>
      <c r="H16" s="406"/>
      <c r="I16" s="406"/>
      <c r="J16" s="406"/>
      <c r="K16" s="406">
        <v>2922.01</v>
      </c>
      <c r="L16" s="406">
        <v>117029.5</v>
      </c>
      <c r="M16" s="406">
        <v>106569.28</v>
      </c>
      <c r="N16" s="406">
        <v>244856.18000000002</v>
      </c>
      <c r="O16" s="406">
        <v>185379.5</v>
      </c>
      <c r="P16" s="442">
        <v>190215.86000000002</v>
      </c>
      <c r="Q16" s="433">
        <f t="shared" ref="Q16:Q23" si="4">SUM(E16:P16)</f>
        <v>846972.33</v>
      </c>
      <c r="R16" s="401" t="b">
        <v>1</v>
      </c>
    </row>
    <row r="17" spans="2:18" x14ac:dyDescent="0.2">
      <c r="B17" s="802"/>
      <c r="C17" s="805"/>
      <c r="D17" s="405" t="s">
        <v>68</v>
      </c>
      <c r="E17" s="406"/>
      <c r="F17" s="406"/>
      <c r="G17" s="406"/>
      <c r="H17" s="406"/>
      <c r="I17" s="406"/>
      <c r="J17" s="406"/>
      <c r="K17" s="406">
        <v>19586.48</v>
      </c>
      <c r="L17" s="406">
        <v>37637.730000000003</v>
      </c>
      <c r="M17" s="406">
        <v>67601.39</v>
      </c>
      <c r="N17" s="406">
        <v>107855.37</v>
      </c>
      <c r="O17" s="406">
        <v>66138.33</v>
      </c>
      <c r="P17" s="442">
        <v>109977.88</v>
      </c>
      <c r="Q17" s="433">
        <f t="shared" si="4"/>
        <v>408797.18</v>
      </c>
      <c r="R17" s="401" t="b">
        <v>1</v>
      </c>
    </row>
    <row r="18" spans="2:18" ht="16.5" thickBot="1" x14ac:dyDescent="0.25">
      <c r="B18" s="802"/>
      <c r="C18" s="805"/>
      <c r="D18" s="408" t="s">
        <v>276</v>
      </c>
      <c r="E18" s="409"/>
      <c r="F18" s="409"/>
      <c r="G18" s="409"/>
      <c r="H18" s="409"/>
      <c r="I18" s="409"/>
      <c r="J18" s="409"/>
      <c r="K18" s="409">
        <v>662801.59</v>
      </c>
      <c r="L18" s="409">
        <v>642036.63</v>
      </c>
      <c r="M18" s="409">
        <v>616427.04</v>
      </c>
      <c r="N18" s="409">
        <v>763576.75</v>
      </c>
      <c r="O18" s="409">
        <v>925348.75</v>
      </c>
      <c r="P18" s="443">
        <v>1137891.22</v>
      </c>
      <c r="Q18" s="434">
        <f t="shared" si="4"/>
        <v>4748081.9799999995</v>
      </c>
      <c r="R18" s="401" t="b">
        <v>1</v>
      </c>
    </row>
    <row r="19" spans="2:18" ht="17.25" hidden="1" thickTop="1" thickBot="1" x14ac:dyDescent="0.25">
      <c r="B19" s="802"/>
      <c r="C19" s="805"/>
      <c r="D19" s="411" t="s">
        <v>73</v>
      </c>
      <c r="E19" s="412"/>
      <c r="F19" s="412"/>
      <c r="G19" s="412"/>
      <c r="H19" s="412"/>
      <c r="I19" s="412"/>
      <c r="J19" s="412"/>
      <c r="K19" s="412">
        <v>0</v>
      </c>
      <c r="L19" s="412">
        <v>0</v>
      </c>
      <c r="M19" s="412">
        <v>0</v>
      </c>
      <c r="N19" s="412">
        <v>0</v>
      </c>
      <c r="O19" s="412">
        <v>0</v>
      </c>
      <c r="P19" s="444">
        <v>0</v>
      </c>
      <c r="Q19" s="435">
        <f t="shared" si="4"/>
        <v>0</v>
      </c>
      <c r="R19" s="401" t="b">
        <v>1</v>
      </c>
    </row>
    <row r="20" spans="2:18" ht="17.25" thickTop="1" thickBot="1" x14ac:dyDescent="0.25">
      <c r="B20" s="802"/>
      <c r="C20" s="806"/>
      <c r="D20" s="424" t="s">
        <v>277</v>
      </c>
      <c r="E20" s="425"/>
      <c r="F20" s="425"/>
      <c r="G20" s="425"/>
      <c r="H20" s="425"/>
      <c r="I20" s="425"/>
      <c r="J20" s="425"/>
      <c r="K20" s="414">
        <f t="shared" ref="K20:P20" si="5">SUM(K15:K19)</f>
        <v>12142477.26</v>
      </c>
      <c r="L20" s="414">
        <f t="shared" si="5"/>
        <v>32081657.570000004</v>
      </c>
      <c r="M20" s="414">
        <f t="shared" si="5"/>
        <v>43222183.279999994</v>
      </c>
      <c r="N20" s="414">
        <f t="shared" si="5"/>
        <v>62921034.439999998</v>
      </c>
      <c r="O20" s="414">
        <f t="shared" si="5"/>
        <v>51865317.549999997</v>
      </c>
      <c r="P20" s="445">
        <f t="shared" si="5"/>
        <v>74326988.679999977</v>
      </c>
      <c r="Q20" s="439">
        <f t="shared" si="4"/>
        <v>276559658.77999997</v>
      </c>
      <c r="R20" s="401" t="b">
        <v>1</v>
      </c>
    </row>
    <row r="21" spans="2:18" x14ac:dyDescent="0.2">
      <c r="B21" s="802"/>
      <c r="C21" s="807" t="s">
        <v>278</v>
      </c>
      <c r="D21" s="808"/>
      <c r="E21" s="415"/>
      <c r="F21" s="415"/>
      <c r="G21" s="415"/>
      <c r="H21" s="415"/>
      <c r="I21" s="415"/>
      <c r="J21" s="415"/>
      <c r="K21" s="406">
        <v>0</v>
      </c>
      <c r="L21" s="415">
        <v>0</v>
      </c>
      <c r="M21" s="415">
        <v>0</v>
      </c>
      <c r="N21" s="415">
        <v>0</v>
      </c>
      <c r="O21" s="415">
        <v>0</v>
      </c>
      <c r="P21" s="446">
        <v>0</v>
      </c>
      <c r="Q21" s="437">
        <f t="shared" si="4"/>
        <v>0</v>
      </c>
      <c r="R21" s="401" t="b">
        <v>1</v>
      </c>
    </row>
    <row r="22" spans="2:18" ht="16.5" thickBot="1" x14ac:dyDescent="0.25">
      <c r="B22" s="802"/>
      <c r="C22" s="809" t="s">
        <v>279</v>
      </c>
      <c r="D22" s="810"/>
      <c r="E22" s="409"/>
      <c r="F22" s="409"/>
      <c r="G22" s="409"/>
      <c r="H22" s="409"/>
      <c r="I22" s="409"/>
      <c r="J22" s="409"/>
      <c r="K22" s="409">
        <v>4944.5200000000004</v>
      </c>
      <c r="L22" s="409">
        <v>15261.19</v>
      </c>
      <c r="M22" s="409">
        <v>29370.18</v>
      </c>
      <c r="N22" s="409">
        <v>39866.51</v>
      </c>
      <c r="O22" s="409">
        <v>72776.710000000006</v>
      </c>
      <c r="P22" s="443">
        <v>97462.63</v>
      </c>
      <c r="Q22" s="434">
        <f t="shared" si="4"/>
        <v>259681.74</v>
      </c>
      <c r="R22" s="401" t="b">
        <v>1</v>
      </c>
    </row>
    <row r="23" spans="2:18" ht="16.5" thickTop="1" x14ac:dyDescent="0.2">
      <c r="B23" s="802"/>
      <c r="C23" s="807" t="s">
        <v>127</v>
      </c>
      <c r="D23" s="808"/>
      <c r="E23" s="417"/>
      <c r="F23" s="417"/>
      <c r="G23" s="417"/>
      <c r="H23" s="417"/>
      <c r="I23" s="417"/>
      <c r="J23" s="417"/>
      <c r="K23" s="417">
        <f t="shared" ref="K23:P23" si="6">K20+K21+K22</f>
        <v>12147421.779999999</v>
      </c>
      <c r="L23" s="417">
        <f t="shared" si="6"/>
        <v>32096918.760000005</v>
      </c>
      <c r="M23" s="417">
        <f t="shared" si="6"/>
        <v>43251553.459999993</v>
      </c>
      <c r="N23" s="417">
        <f t="shared" si="6"/>
        <v>62960900.949999996</v>
      </c>
      <c r="O23" s="417">
        <f t="shared" si="6"/>
        <v>51938094.259999998</v>
      </c>
      <c r="P23" s="447">
        <f t="shared" si="6"/>
        <v>74424451.309999973</v>
      </c>
      <c r="Q23" s="437">
        <f t="shared" si="4"/>
        <v>276819340.51999998</v>
      </c>
      <c r="R23" s="401" t="b">
        <v>1</v>
      </c>
    </row>
    <row r="24" spans="2:18" x14ac:dyDescent="0.2">
      <c r="B24" s="802"/>
      <c r="C24" s="811" t="s">
        <v>115</v>
      </c>
      <c r="D24" s="812"/>
      <c r="E24" s="418"/>
      <c r="F24" s="418"/>
      <c r="G24" s="418"/>
      <c r="H24" s="418"/>
      <c r="I24" s="418"/>
      <c r="J24" s="418"/>
      <c r="K24" s="418">
        <v>75174</v>
      </c>
      <c r="L24" s="418">
        <v>82124</v>
      </c>
      <c r="M24" s="418">
        <v>91371</v>
      </c>
      <c r="N24" s="418">
        <v>114290</v>
      </c>
      <c r="O24" s="418">
        <v>126063</v>
      </c>
      <c r="P24" s="448">
        <v>144174</v>
      </c>
      <c r="Q24" s="438">
        <f>AVERAGE(E24:P24)</f>
        <v>105532.66666666667</v>
      </c>
      <c r="R24" s="401" t="b">
        <v>1</v>
      </c>
    </row>
    <row r="25" spans="2:18" ht="16.5" thickBot="1" x14ac:dyDescent="0.25">
      <c r="B25" s="803"/>
      <c r="C25" s="813" t="s">
        <v>280</v>
      </c>
      <c r="D25" s="814"/>
      <c r="E25" s="420"/>
      <c r="F25" s="421"/>
      <c r="G25" s="421"/>
      <c r="H25" s="421"/>
      <c r="I25" s="421"/>
      <c r="J25" s="421"/>
      <c r="K25" s="422">
        <v>161.59073323223453</v>
      </c>
      <c r="L25" s="422">
        <v>390.83482002825002</v>
      </c>
      <c r="M25" s="422">
        <v>473.36193606286452</v>
      </c>
      <c r="N25" s="422">
        <v>550.8872250415609</v>
      </c>
      <c r="O25" s="422">
        <v>412.00109675321067</v>
      </c>
      <c r="P25" s="449">
        <v>516.21271040548208</v>
      </c>
      <c r="Q25" s="451">
        <f t="shared" ref="Q25" si="7">Q23/Q24</f>
        <v>2623.0678069981486</v>
      </c>
      <c r="R25" s="401" t="b">
        <v>1</v>
      </c>
    </row>
    <row r="26" spans="2:18" ht="15.75" customHeight="1" x14ac:dyDescent="0.2">
      <c r="B26" s="802" t="s">
        <v>281</v>
      </c>
      <c r="C26" s="804" t="s">
        <v>274</v>
      </c>
      <c r="D26" s="402" t="s">
        <v>50</v>
      </c>
      <c r="E26" s="403"/>
      <c r="F26" s="403"/>
      <c r="G26" s="403"/>
      <c r="H26" s="403"/>
      <c r="I26" s="403"/>
      <c r="J26" s="403"/>
      <c r="K26" s="403">
        <v>16066042.76</v>
      </c>
      <c r="L26" s="403">
        <v>39560654.110000007</v>
      </c>
      <c r="M26" s="403">
        <v>52008024.639999993</v>
      </c>
      <c r="N26" s="403">
        <v>74008790.870000005</v>
      </c>
      <c r="O26" s="403">
        <v>60159362.629999995</v>
      </c>
      <c r="P26" s="441">
        <v>86688010.439999983</v>
      </c>
      <c r="Q26" s="432">
        <f>SUM(E26:P26)</f>
        <v>328490885.44999999</v>
      </c>
      <c r="R26" s="401" t="b">
        <v>1</v>
      </c>
    </row>
    <row r="27" spans="2:18" x14ac:dyDescent="0.2">
      <c r="B27" s="802"/>
      <c r="C27" s="805"/>
      <c r="D27" s="405" t="s">
        <v>275</v>
      </c>
      <c r="E27" s="406"/>
      <c r="F27" s="406"/>
      <c r="G27" s="406"/>
      <c r="H27" s="406"/>
      <c r="I27" s="406"/>
      <c r="J27" s="406"/>
      <c r="K27" s="406">
        <v>4192.63</v>
      </c>
      <c r="L27" s="406">
        <v>121719.49</v>
      </c>
      <c r="M27" s="406">
        <v>117689.95</v>
      </c>
      <c r="N27" s="406">
        <v>257628.28000000003</v>
      </c>
      <c r="O27" s="406">
        <v>193158.1</v>
      </c>
      <c r="P27" s="442">
        <v>199563.18000000002</v>
      </c>
      <c r="Q27" s="433">
        <f t="shared" ref="Q27:Q34" si="8">SUM(E27:P27)</f>
        <v>893951.63000000012</v>
      </c>
      <c r="R27" s="401" t="b">
        <v>1</v>
      </c>
    </row>
    <row r="28" spans="2:18" x14ac:dyDescent="0.2">
      <c r="B28" s="802"/>
      <c r="C28" s="805"/>
      <c r="D28" s="405" t="s">
        <v>68</v>
      </c>
      <c r="E28" s="406"/>
      <c r="F28" s="406"/>
      <c r="G28" s="406"/>
      <c r="H28" s="406"/>
      <c r="I28" s="406"/>
      <c r="J28" s="406"/>
      <c r="K28" s="406">
        <v>19586.48</v>
      </c>
      <c r="L28" s="406">
        <v>37637.730000000003</v>
      </c>
      <c r="M28" s="406">
        <v>67601.39</v>
      </c>
      <c r="N28" s="406">
        <v>107855.37</v>
      </c>
      <c r="O28" s="406">
        <v>66138.33</v>
      </c>
      <c r="P28" s="442">
        <v>109977.88</v>
      </c>
      <c r="Q28" s="433">
        <f t="shared" si="8"/>
        <v>408797.18</v>
      </c>
      <c r="R28" s="401" t="b">
        <v>1</v>
      </c>
    </row>
    <row r="29" spans="2:18" ht="16.5" thickBot="1" x14ac:dyDescent="0.25">
      <c r="B29" s="802"/>
      <c r="C29" s="805"/>
      <c r="D29" s="408" t="s">
        <v>276</v>
      </c>
      <c r="E29" s="409"/>
      <c r="F29" s="409"/>
      <c r="G29" s="409"/>
      <c r="H29" s="409"/>
      <c r="I29" s="409"/>
      <c r="J29" s="409"/>
      <c r="K29" s="409">
        <v>986794.03</v>
      </c>
      <c r="L29" s="409">
        <v>952370.44</v>
      </c>
      <c r="M29" s="409">
        <v>951139.84000000008</v>
      </c>
      <c r="N29" s="409">
        <v>1124844.73</v>
      </c>
      <c r="O29" s="409">
        <v>1286433.21</v>
      </c>
      <c r="P29" s="443">
        <v>1547188.12</v>
      </c>
      <c r="Q29" s="434">
        <f t="shared" si="8"/>
        <v>6848770.3700000001</v>
      </c>
      <c r="R29" s="401" t="b">
        <v>1</v>
      </c>
    </row>
    <row r="30" spans="2:18" ht="17.25" hidden="1" thickTop="1" thickBot="1" x14ac:dyDescent="0.25">
      <c r="B30" s="802"/>
      <c r="C30" s="805"/>
      <c r="D30" s="411" t="s">
        <v>73</v>
      </c>
      <c r="E30" s="412"/>
      <c r="F30" s="412"/>
      <c r="G30" s="412"/>
      <c r="H30" s="412"/>
      <c r="I30" s="412"/>
      <c r="J30" s="412"/>
      <c r="K30" s="412">
        <v>0</v>
      </c>
      <c r="L30" s="412">
        <v>0</v>
      </c>
      <c r="M30" s="412">
        <v>0</v>
      </c>
      <c r="N30" s="412">
        <v>0</v>
      </c>
      <c r="O30" s="412">
        <v>0</v>
      </c>
      <c r="P30" s="444">
        <v>0</v>
      </c>
      <c r="Q30" s="435">
        <f t="shared" si="8"/>
        <v>0</v>
      </c>
      <c r="R30" s="401" t="b">
        <v>1</v>
      </c>
    </row>
    <row r="31" spans="2:18" ht="17.25" thickTop="1" thickBot="1" x14ac:dyDescent="0.25">
      <c r="B31" s="802"/>
      <c r="C31" s="806"/>
      <c r="D31" s="424" t="s">
        <v>277</v>
      </c>
      <c r="E31" s="425"/>
      <c r="F31" s="425"/>
      <c r="G31" s="425"/>
      <c r="H31" s="425"/>
      <c r="I31" s="425"/>
      <c r="J31" s="425"/>
      <c r="K31" s="414">
        <f t="shared" ref="K31:P31" si="9">SUM(K26:K30)</f>
        <v>17076615.900000002</v>
      </c>
      <c r="L31" s="414">
        <f t="shared" si="9"/>
        <v>40672381.770000003</v>
      </c>
      <c r="M31" s="414">
        <f t="shared" si="9"/>
        <v>53144455.82</v>
      </c>
      <c r="N31" s="414">
        <f t="shared" si="9"/>
        <v>75499119.250000015</v>
      </c>
      <c r="O31" s="414">
        <f t="shared" si="9"/>
        <v>61705092.269999996</v>
      </c>
      <c r="P31" s="445">
        <f t="shared" si="9"/>
        <v>88544739.61999999</v>
      </c>
      <c r="Q31" s="439">
        <f t="shared" si="8"/>
        <v>336642404.63</v>
      </c>
      <c r="R31" s="401" t="b">
        <v>1</v>
      </c>
    </row>
    <row r="32" spans="2:18" x14ac:dyDescent="0.2">
      <c r="B32" s="802"/>
      <c r="C32" s="807" t="s">
        <v>278</v>
      </c>
      <c r="D32" s="808"/>
      <c r="E32" s="415"/>
      <c r="F32" s="415"/>
      <c r="G32" s="415"/>
      <c r="H32" s="415"/>
      <c r="I32" s="415"/>
      <c r="J32" s="415"/>
      <c r="K32" s="406">
        <v>0</v>
      </c>
      <c r="L32" s="415">
        <v>0</v>
      </c>
      <c r="M32" s="415">
        <v>0</v>
      </c>
      <c r="N32" s="415">
        <v>0</v>
      </c>
      <c r="O32" s="415">
        <v>0</v>
      </c>
      <c r="P32" s="446">
        <v>0</v>
      </c>
      <c r="Q32" s="437">
        <f t="shared" si="8"/>
        <v>0</v>
      </c>
      <c r="R32" s="401" t="b">
        <v>1</v>
      </c>
    </row>
    <row r="33" spans="2:18" ht="16.5" thickBot="1" x14ac:dyDescent="0.25">
      <c r="B33" s="802"/>
      <c r="C33" s="809" t="s">
        <v>279</v>
      </c>
      <c r="D33" s="810"/>
      <c r="E33" s="409"/>
      <c r="F33" s="409"/>
      <c r="G33" s="409"/>
      <c r="H33" s="409"/>
      <c r="I33" s="409"/>
      <c r="J33" s="409"/>
      <c r="K33" s="409">
        <v>4944.5200000000004</v>
      </c>
      <c r="L33" s="409">
        <v>15261.19</v>
      </c>
      <c r="M33" s="409">
        <v>29764.68</v>
      </c>
      <c r="N33" s="409">
        <v>39866.51</v>
      </c>
      <c r="O33" s="409">
        <v>72776.710000000006</v>
      </c>
      <c r="P33" s="443">
        <v>97514.91</v>
      </c>
      <c r="Q33" s="434">
        <f t="shared" si="8"/>
        <v>260128.52</v>
      </c>
      <c r="R33" s="401" t="b">
        <v>1</v>
      </c>
    </row>
    <row r="34" spans="2:18" ht="16.5" thickTop="1" x14ac:dyDescent="0.2">
      <c r="B34" s="802"/>
      <c r="C34" s="807" t="s">
        <v>127</v>
      </c>
      <c r="D34" s="808"/>
      <c r="E34" s="417"/>
      <c r="F34" s="417"/>
      <c r="G34" s="417"/>
      <c r="H34" s="417"/>
      <c r="I34" s="417"/>
      <c r="J34" s="417"/>
      <c r="K34" s="417">
        <f t="shared" ref="K34:P34" si="10">K31+K32+K33</f>
        <v>17081560.420000002</v>
      </c>
      <c r="L34" s="417">
        <f t="shared" si="10"/>
        <v>40687642.960000001</v>
      </c>
      <c r="M34" s="417">
        <f t="shared" si="10"/>
        <v>53174220.5</v>
      </c>
      <c r="N34" s="417">
        <f t="shared" si="10"/>
        <v>75538985.76000002</v>
      </c>
      <c r="O34" s="417">
        <f t="shared" si="10"/>
        <v>61777868.979999997</v>
      </c>
      <c r="P34" s="447">
        <f t="shared" si="10"/>
        <v>88642254.529999986</v>
      </c>
      <c r="Q34" s="437">
        <f t="shared" si="8"/>
        <v>336902533.14999998</v>
      </c>
      <c r="R34" s="401" t="b">
        <v>1</v>
      </c>
    </row>
    <row r="35" spans="2:18" x14ac:dyDescent="0.2">
      <c r="B35" s="802"/>
      <c r="C35" s="811" t="s">
        <v>115</v>
      </c>
      <c r="D35" s="812"/>
      <c r="E35" s="418"/>
      <c r="F35" s="418"/>
      <c r="G35" s="418"/>
      <c r="H35" s="418"/>
      <c r="I35" s="418"/>
      <c r="J35" s="418"/>
      <c r="K35" s="418">
        <v>113587</v>
      </c>
      <c r="L35" s="418">
        <v>122589</v>
      </c>
      <c r="M35" s="418">
        <v>135719</v>
      </c>
      <c r="N35" s="418">
        <v>161505</v>
      </c>
      <c r="O35" s="418">
        <v>174589</v>
      </c>
      <c r="P35" s="448">
        <v>195453</v>
      </c>
      <c r="Q35" s="438">
        <f>AVERAGE(E35:P35)</f>
        <v>150573.66666666666</v>
      </c>
      <c r="R35" s="401" t="b">
        <v>1</v>
      </c>
    </row>
    <row r="36" spans="2:18" ht="16.5" thickBot="1" x14ac:dyDescent="0.25">
      <c r="B36" s="803"/>
      <c r="C36" s="813" t="s">
        <v>280</v>
      </c>
      <c r="D36" s="814"/>
      <c r="E36" s="420"/>
      <c r="F36" s="421"/>
      <c r="G36" s="421"/>
      <c r="H36" s="421"/>
      <c r="I36" s="421"/>
      <c r="J36" s="421"/>
      <c r="K36" s="422">
        <v>150.38305809643711</v>
      </c>
      <c r="L36" s="422">
        <v>331.90288655589001</v>
      </c>
      <c r="M36" s="422">
        <v>391.79643601853832</v>
      </c>
      <c r="N36" s="422">
        <v>467.71917748676526</v>
      </c>
      <c r="O36" s="422">
        <v>353.84743013591918</v>
      </c>
      <c r="P36" s="449">
        <v>453.52209753751532</v>
      </c>
      <c r="Q36" s="451">
        <f t="shared" ref="Q36" si="11">Q34/Q35</f>
        <v>2237.4598467859587</v>
      </c>
      <c r="R36" s="401" t="b">
        <v>1</v>
      </c>
    </row>
    <row r="37" spans="2:18" x14ac:dyDescent="0.2">
      <c r="B37" s="815" t="s">
        <v>24</v>
      </c>
      <c r="C37" s="815"/>
      <c r="D37" s="815"/>
      <c r="E37" s="815"/>
      <c r="F37" s="815"/>
      <c r="G37" s="815"/>
      <c r="H37" s="815"/>
      <c r="I37" s="815"/>
      <c r="J37" s="815"/>
      <c r="K37" s="815"/>
      <c r="L37" s="815"/>
      <c r="M37" s="815"/>
      <c r="N37" s="815"/>
      <c r="O37" s="815"/>
      <c r="P37" s="815"/>
      <c r="Q37" s="815"/>
    </row>
    <row r="38" spans="2:18" x14ac:dyDescent="0.2">
      <c r="B38" s="816" t="s">
        <v>282</v>
      </c>
      <c r="C38" s="816"/>
      <c r="D38" s="816"/>
      <c r="E38" s="816"/>
      <c r="F38" s="816"/>
      <c r="G38" s="816"/>
      <c r="H38" s="816"/>
      <c r="I38" s="816"/>
      <c r="J38" s="816"/>
      <c r="K38" s="816"/>
      <c r="L38" s="816"/>
      <c r="M38" s="816"/>
      <c r="N38" s="816"/>
      <c r="O38" s="816"/>
      <c r="P38" s="816"/>
      <c r="Q38" s="816"/>
    </row>
    <row r="39" spans="2:18" x14ac:dyDescent="0.2">
      <c r="B39" s="817" t="s">
        <v>287</v>
      </c>
      <c r="C39" s="817"/>
      <c r="D39" s="817"/>
      <c r="E39" s="817"/>
      <c r="F39" s="817"/>
      <c r="G39" s="817"/>
      <c r="H39" s="817"/>
      <c r="I39" s="817"/>
      <c r="J39" s="817"/>
      <c r="K39" s="817"/>
      <c r="L39" s="817"/>
      <c r="M39" s="817"/>
      <c r="N39" s="817"/>
      <c r="O39" s="817"/>
      <c r="P39" s="817"/>
      <c r="Q39" s="817"/>
    </row>
    <row r="41" spans="2:18" ht="16.5" thickBot="1" x14ac:dyDescent="0.25">
      <c r="B41" s="798" t="s">
        <v>284</v>
      </c>
      <c r="C41" s="798"/>
      <c r="D41" s="798"/>
      <c r="E41" s="798"/>
      <c r="F41" s="798"/>
      <c r="G41" s="798"/>
      <c r="H41" s="798"/>
      <c r="I41" s="798"/>
      <c r="J41" s="798"/>
      <c r="K41" s="798"/>
      <c r="L41" s="798"/>
      <c r="M41" s="798"/>
      <c r="N41" s="798"/>
      <c r="O41" s="798"/>
      <c r="P41" s="798"/>
      <c r="Q41" s="798"/>
    </row>
    <row r="42" spans="2:18" ht="16.5" thickBot="1" x14ac:dyDescent="0.25">
      <c r="B42" s="397" t="s">
        <v>271</v>
      </c>
      <c r="C42" s="799" t="s">
        <v>49</v>
      </c>
      <c r="D42" s="800"/>
      <c r="E42" s="398">
        <v>41821</v>
      </c>
      <c r="F42" s="399">
        <v>41852</v>
      </c>
      <c r="G42" s="399">
        <v>41883</v>
      </c>
      <c r="H42" s="399">
        <v>41913</v>
      </c>
      <c r="I42" s="399">
        <v>41944</v>
      </c>
      <c r="J42" s="399">
        <v>41974</v>
      </c>
      <c r="K42" s="399">
        <v>42005</v>
      </c>
      <c r="L42" s="399">
        <v>42036</v>
      </c>
      <c r="M42" s="399">
        <v>42064</v>
      </c>
      <c r="N42" s="399">
        <v>42095</v>
      </c>
      <c r="O42" s="399">
        <v>42125</v>
      </c>
      <c r="P42" s="440">
        <v>42156</v>
      </c>
      <c r="Q42" s="431" t="s">
        <v>285</v>
      </c>
    </row>
    <row r="43" spans="2:18" x14ac:dyDescent="0.2">
      <c r="B43" s="801" t="s">
        <v>273</v>
      </c>
      <c r="C43" s="804" t="s">
        <v>274</v>
      </c>
      <c r="D43" s="402" t="s">
        <v>50</v>
      </c>
      <c r="E43" s="403">
        <v>10521204.800000001</v>
      </c>
      <c r="F43" s="403">
        <v>11585142.010000002</v>
      </c>
      <c r="G43" s="403">
        <v>15624406.999999998</v>
      </c>
      <c r="H43" s="403">
        <v>12583815.389999999</v>
      </c>
      <c r="I43" s="403">
        <v>14215137.32</v>
      </c>
      <c r="J43" s="403">
        <v>16876867.440000001</v>
      </c>
      <c r="K43" s="403">
        <v>14920688.179999998</v>
      </c>
      <c r="L43" s="403">
        <v>16324691.770000001</v>
      </c>
      <c r="M43" s="403">
        <v>19481027.319999997</v>
      </c>
      <c r="N43" s="403">
        <v>14121506.749999998</v>
      </c>
      <c r="O43" s="403">
        <v>10832232</v>
      </c>
      <c r="P43" s="441">
        <v>8338166.6699999981</v>
      </c>
      <c r="Q43" s="432">
        <f>SUM(E43:P43)</f>
        <v>165424886.64999998</v>
      </c>
      <c r="R43" s="401" t="b">
        <v>1</v>
      </c>
    </row>
    <row r="44" spans="2:18" x14ac:dyDescent="0.2">
      <c r="B44" s="802"/>
      <c r="C44" s="805"/>
      <c r="D44" s="405" t="s">
        <v>275</v>
      </c>
      <c r="E44" s="406">
        <v>23031.040000000001</v>
      </c>
      <c r="F44" s="406">
        <v>17529.3</v>
      </c>
      <c r="G44" s="406">
        <v>10896.75</v>
      </c>
      <c r="H44" s="406">
        <v>8885.0499999999993</v>
      </c>
      <c r="I44" s="406">
        <v>11632.64</v>
      </c>
      <c r="J44" s="406">
        <v>39414.019999999997</v>
      </c>
      <c r="K44" s="406">
        <v>18382.77</v>
      </c>
      <c r="L44" s="406">
        <v>18988.990000000002</v>
      </c>
      <c r="M44" s="406">
        <v>26793.01</v>
      </c>
      <c r="N44" s="406">
        <v>13480.17</v>
      </c>
      <c r="O44" s="406">
        <v>5047.38</v>
      </c>
      <c r="P44" s="442">
        <v>3560.06</v>
      </c>
      <c r="Q44" s="433">
        <f t="shared" ref="Q44:Q51" si="12">SUM(E44:P44)</f>
        <v>197641.18000000002</v>
      </c>
      <c r="R44" s="401" t="b">
        <v>1</v>
      </c>
    </row>
    <row r="45" spans="2:18" x14ac:dyDescent="0.2">
      <c r="B45" s="802"/>
      <c r="C45" s="805"/>
      <c r="D45" s="405" t="s">
        <v>68</v>
      </c>
      <c r="E45" s="406">
        <v>0</v>
      </c>
      <c r="F45" s="406">
        <v>0</v>
      </c>
      <c r="G45" s="406">
        <v>0</v>
      </c>
      <c r="H45" s="406">
        <v>0</v>
      </c>
      <c r="I45" s="406">
        <v>3208.66</v>
      </c>
      <c r="J45" s="406">
        <v>3419.68</v>
      </c>
      <c r="K45" s="406">
        <v>3208.66</v>
      </c>
      <c r="L45" s="406">
        <v>1377.34</v>
      </c>
      <c r="M45" s="406">
        <v>17303.490000000002</v>
      </c>
      <c r="N45" s="406">
        <v>5343.75</v>
      </c>
      <c r="O45" s="406">
        <v>6648.57</v>
      </c>
      <c r="P45" s="442">
        <v>0</v>
      </c>
      <c r="Q45" s="433">
        <f t="shared" si="12"/>
        <v>40510.15</v>
      </c>
      <c r="R45" s="401" t="b">
        <v>1</v>
      </c>
    </row>
    <row r="46" spans="2:18" ht="16.5" thickBot="1" x14ac:dyDescent="0.25">
      <c r="B46" s="802"/>
      <c r="C46" s="805"/>
      <c r="D46" s="408" t="s">
        <v>276</v>
      </c>
      <c r="E46" s="409">
        <v>446344.44</v>
      </c>
      <c r="F46" s="409">
        <v>450337.01</v>
      </c>
      <c r="G46" s="409">
        <v>524404.22</v>
      </c>
      <c r="H46" s="409">
        <v>488971.95</v>
      </c>
      <c r="I46" s="409">
        <v>500374.87</v>
      </c>
      <c r="J46" s="409">
        <v>493332.96</v>
      </c>
      <c r="K46" s="409">
        <v>482464.63</v>
      </c>
      <c r="L46" s="409">
        <v>502387.01</v>
      </c>
      <c r="M46" s="409">
        <v>519291.09</v>
      </c>
      <c r="N46" s="409">
        <v>489246.82</v>
      </c>
      <c r="O46" s="409">
        <v>380141.69</v>
      </c>
      <c r="P46" s="443">
        <v>311797.59000000003</v>
      </c>
      <c r="Q46" s="434">
        <f t="shared" si="12"/>
        <v>5589094.2800000003</v>
      </c>
      <c r="R46" s="401" t="b">
        <v>1</v>
      </c>
    </row>
    <row r="47" spans="2:18" ht="17.25" hidden="1" customHeight="1" thickTop="1" thickBot="1" x14ac:dyDescent="0.25">
      <c r="B47" s="802"/>
      <c r="C47" s="805"/>
      <c r="D47" s="411" t="s">
        <v>73</v>
      </c>
      <c r="E47" s="412">
        <v>0</v>
      </c>
      <c r="F47" s="412">
        <v>0</v>
      </c>
      <c r="G47" s="412">
        <v>0</v>
      </c>
      <c r="H47" s="412">
        <v>0</v>
      </c>
      <c r="I47" s="412">
        <v>0</v>
      </c>
      <c r="J47" s="412">
        <v>0</v>
      </c>
      <c r="K47" s="412">
        <v>0</v>
      </c>
      <c r="L47" s="412">
        <v>0</v>
      </c>
      <c r="M47" s="412">
        <v>0</v>
      </c>
      <c r="N47" s="412">
        <v>0</v>
      </c>
      <c r="O47" s="412">
        <v>0</v>
      </c>
      <c r="P47" s="444">
        <v>0</v>
      </c>
      <c r="Q47" s="435">
        <f t="shared" si="12"/>
        <v>0</v>
      </c>
      <c r="R47" s="401" t="b">
        <v>1</v>
      </c>
    </row>
    <row r="48" spans="2:18" ht="17.25" thickTop="1" thickBot="1" x14ac:dyDescent="0.25">
      <c r="B48" s="802"/>
      <c r="C48" s="806"/>
      <c r="D48" s="424" t="s">
        <v>277</v>
      </c>
      <c r="E48" s="414">
        <f t="shared" ref="E48:P48" si="13">SUM(E43:E47)</f>
        <v>10990580.279999999</v>
      </c>
      <c r="F48" s="425">
        <f t="shared" si="13"/>
        <v>12053008.320000002</v>
      </c>
      <c r="G48" s="425">
        <f t="shared" si="13"/>
        <v>16159707.969999999</v>
      </c>
      <c r="H48" s="425">
        <f t="shared" si="13"/>
        <v>13081672.389999999</v>
      </c>
      <c r="I48" s="425">
        <f t="shared" si="13"/>
        <v>14730353.49</v>
      </c>
      <c r="J48" s="425">
        <f t="shared" si="13"/>
        <v>17413034.100000001</v>
      </c>
      <c r="K48" s="425">
        <f t="shared" si="13"/>
        <v>15424744.239999998</v>
      </c>
      <c r="L48" s="425">
        <f t="shared" si="13"/>
        <v>16847445.110000003</v>
      </c>
      <c r="M48" s="425">
        <f t="shared" si="13"/>
        <v>20044414.909999996</v>
      </c>
      <c r="N48" s="425">
        <f t="shared" si="13"/>
        <v>14629577.489999998</v>
      </c>
      <c r="O48" s="425">
        <f t="shared" si="13"/>
        <v>11224069.640000001</v>
      </c>
      <c r="P48" s="450">
        <f t="shared" si="13"/>
        <v>8653524.3199999984</v>
      </c>
      <c r="Q48" s="439">
        <f>SUM(E48:P48)</f>
        <v>171252132.25999999</v>
      </c>
      <c r="R48" s="401" t="b">
        <v>1</v>
      </c>
    </row>
    <row r="49" spans="2:18" x14ac:dyDescent="0.2">
      <c r="B49" s="802"/>
      <c r="C49" s="807" t="s">
        <v>278</v>
      </c>
      <c r="D49" s="808"/>
      <c r="E49" s="406">
        <v>232727.94</v>
      </c>
      <c r="F49" s="415">
        <v>132988.91</v>
      </c>
      <c r="G49" s="415">
        <v>47831.03</v>
      </c>
      <c r="H49" s="415">
        <v>0</v>
      </c>
      <c r="I49" s="415">
        <v>0</v>
      </c>
      <c r="J49" s="415">
        <v>0</v>
      </c>
      <c r="K49" s="415">
        <v>0</v>
      </c>
      <c r="L49" s="415">
        <v>0</v>
      </c>
      <c r="M49" s="415">
        <v>-4241.03</v>
      </c>
      <c r="N49" s="415">
        <v>0</v>
      </c>
      <c r="O49" s="415">
        <v>0</v>
      </c>
      <c r="P49" s="446">
        <v>-120.42</v>
      </c>
      <c r="Q49" s="437">
        <f t="shared" si="12"/>
        <v>409186.43</v>
      </c>
      <c r="R49" s="401" t="b">
        <v>1</v>
      </c>
    </row>
    <row r="50" spans="2:18" ht="16.5" thickBot="1" x14ac:dyDescent="0.25">
      <c r="B50" s="802"/>
      <c r="C50" s="809" t="s">
        <v>279</v>
      </c>
      <c r="D50" s="810"/>
      <c r="E50" s="409">
        <v>360</v>
      </c>
      <c r="F50" s="409">
        <v>0</v>
      </c>
      <c r="G50" s="409">
        <v>4636.32</v>
      </c>
      <c r="H50" s="409">
        <v>400</v>
      </c>
      <c r="I50" s="409">
        <v>2434.16</v>
      </c>
      <c r="J50" s="409">
        <v>4737.3599999999997</v>
      </c>
      <c r="K50" s="409">
        <v>3463.2</v>
      </c>
      <c r="L50" s="409">
        <v>2866.95</v>
      </c>
      <c r="M50" s="409">
        <v>3411.72</v>
      </c>
      <c r="N50" s="409">
        <v>3676.01</v>
      </c>
      <c r="O50" s="409">
        <v>18270.759999999998</v>
      </c>
      <c r="P50" s="443">
        <v>3199.88</v>
      </c>
      <c r="Q50" s="434">
        <f t="shared" si="12"/>
        <v>47456.359999999993</v>
      </c>
      <c r="R50" s="401" t="b">
        <v>1</v>
      </c>
    </row>
    <row r="51" spans="2:18" ht="16.5" thickTop="1" x14ac:dyDescent="0.2">
      <c r="B51" s="802"/>
      <c r="C51" s="807" t="s">
        <v>127</v>
      </c>
      <c r="D51" s="808"/>
      <c r="E51" s="417">
        <f t="shared" ref="E51" si="14">E48+E49+E50</f>
        <v>11223668.219999999</v>
      </c>
      <c r="F51" s="417">
        <f t="shared" ref="F51:P51" si="15">F48+F49+F50</f>
        <v>12185997.230000002</v>
      </c>
      <c r="G51" s="417">
        <f t="shared" si="15"/>
        <v>16212175.319999998</v>
      </c>
      <c r="H51" s="417">
        <f t="shared" si="15"/>
        <v>13082072.389999999</v>
      </c>
      <c r="I51" s="417">
        <f t="shared" si="15"/>
        <v>14732787.65</v>
      </c>
      <c r="J51" s="417">
        <f t="shared" si="15"/>
        <v>17417771.460000001</v>
      </c>
      <c r="K51" s="417">
        <f t="shared" si="15"/>
        <v>15428207.439999998</v>
      </c>
      <c r="L51" s="417">
        <f t="shared" si="15"/>
        <v>16850312.060000002</v>
      </c>
      <c r="M51" s="417">
        <f t="shared" si="15"/>
        <v>20043585.599999994</v>
      </c>
      <c r="N51" s="417">
        <f t="shared" si="15"/>
        <v>14633253.499999998</v>
      </c>
      <c r="O51" s="417">
        <f t="shared" si="15"/>
        <v>11242340.4</v>
      </c>
      <c r="P51" s="447">
        <f t="shared" si="15"/>
        <v>8656603.7799999993</v>
      </c>
      <c r="Q51" s="437">
        <f t="shared" si="12"/>
        <v>171708775.05000001</v>
      </c>
      <c r="R51" s="401" t="b">
        <v>1</v>
      </c>
    </row>
    <row r="52" spans="2:18" x14ac:dyDescent="0.2">
      <c r="B52" s="802"/>
      <c r="C52" s="811" t="s">
        <v>115</v>
      </c>
      <c r="D52" s="812"/>
      <c r="E52" s="418">
        <v>57057</v>
      </c>
      <c r="F52" s="418">
        <v>57086</v>
      </c>
      <c r="G52" s="418">
        <v>60380</v>
      </c>
      <c r="H52" s="418">
        <v>60321</v>
      </c>
      <c r="I52" s="418">
        <v>65052</v>
      </c>
      <c r="J52" s="418">
        <v>68416</v>
      </c>
      <c r="K52" s="418">
        <v>65196</v>
      </c>
      <c r="L52" s="418">
        <v>73234</v>
      </c>
      <c r="M52" s="418">
        <v>72226</v>
      </c>
      <c r="N52" s="418">
        <v>63800</v>
      </c>
      <c r="O52" s="418">
        <v>50488</v>
      </c>
      <c r="P52" s="448">
        <v>63482</v>
      </c>
      <c r="Q52" s="438">
        <f>AVERAGE(E52:P52)</f>
        <v>63061.5</v>
      </c>
      <c r="R52" s="401" t="b">
        <v>1</v>
      </c>
    </row>
    <row r="53" spans="2:18" ht="16.5" thickBot="1" x14ac:dyDescent="0.25">
      <c r="B53" s="803"/>
      <c r="C53" s="813" t="s">
        <v>280</v>
      </c>
      <c r="D53" s="814"/>
      <c r="E53" s="422">
        <v>196.70975024975021</v>
      </c>
      <c r="F53" s="421">
        <v>213.46735153978213</v>
      </c>
      <c r="G53" s="421">
        <v>268.50240675720437</v>
      </c>
      <c r="H53" s="421">
        <v>216.87426252880422</v>
      </c>
      <c r="I53" s="421">
        <v>226.47708986656829</v>
      </c>
      <c r="J53" s="421">
        <v>254.58622924462117</v>
      </c>
      <c r="K53" s="422">
        <v>236.64346647033557</v>
      </c>
      <c r="L53" s="422">
        <v>230.08864816888334</v>
      </c>
      <c r="M53" s="422">
        <v>277.5120538310303</v>
      </c>
      <c r="N53" s="422">
        <v>229.36134012539182</v>
      </c>
      <c r="O53" s="422">
        <v>222.67351449849471</v>
      </c>
      <c r="P53" s="449">
        <v>136.36312309000976</v>
      </c>
      <c r="Q53" s="451">
        <f t="shared" ref="Q53" si="16">Q51/Q52</f>
        <v>2722.8780642705933</v>
      </c>
      <c r="R53" s="401" t="b">
        <v>1</v>
      </c>
    </row>
    <row r="54" spans="2:18" x14ac:dyDescent="0.2">
      <c r="B54" s="801" t="s">
        <v>136</v>
      </c>
      <c r="C54" s="804" t="s">
        <v>274</v>
      </c>
      <c r="D54" s="402" t="s">
        <v>50</v>
      </c>
      <c r="E54" s="403">
        <v>56430010.25</v>
      </c>
      <c r="F54" s="403">
        <v>62761944.829999991</v>
      </c>
      <c r="G54" s="403">
        <v>81075480.409999996</v>
      </c>
      <c r="H54" s="403">
        <v>62411649.480000012</v>
      </c>
      <c r="I54" s="403">
        <v>71194220.799999997</v>
      </c>
      <c r="J54" s="403">
        <v>83632427.960000008</v>
      </c>
      <c r="K54" s="403">
        <v>73653258.140000001</v>
      </c>
      <c r="L54" s="403">
        <v>82350182.660000026</v>
      </c>
      <c r="M54" s="403">
        <v>99473678.299999997</v>
      </c>
      <c r="N54" s="403">
        <v>84240550.25999999</v>
      </c>
      <c r="O54" s="403">
        <v>93655776.040000007</v>
      </c>
      <c r="P54" s="441">
        <v>120756203.25999999</v>
      </c>
      <c r="Q54" s="432">
        <f>SUM(E54:P54)</f>
        <v>971635382.38999987</v>
      </c>
      <c r="R54" s="401" t="b">
        <v>1</v>
      </c>
    </row>
    <row r="55" spans="2:18" x14ac:dyDescent="0.2">
      <c r="B55" s="802"/>
      <c r="C55" s="805"/>
      <c r="D55" s="405" t="s">
        <v>275</v>
      </c>
      <c r="E55" s="406">
        <v>189936.38</v>
      </c>
      <c r="F55" s="406">
        <v>150435.92000000001</v>
      </c>
      <c r="G55" s="406">
        <v>246471.26</v>
      </c>
      <c r="H55" s="406">
        <v>229524.43999999997</v>
      </c>
      <c r="I55" s="406">
        <v>188685.4</v>
      </c>
      <c r="J55" s="406">
        <v>215599.18</v>
      </c>
      <c r="K55" s="406">
        <v>234261.79</v>
      </c>
      <c r="L55" s="406">
        <v>197098.47</v>
      </c>
      <c r="M55" s="406">
        <v>264124.79999999999</v>
      </c>
      <c r="N55" s="406">
        <v>284300.26</v>
      </c>
      <c r="O55" s="406">
        <v>250403.5</v>
      </c>
      <c r="P55" s="442">
        <v>294829.24</v>
      </c>
      <c r="Q55" s="433">
        <f t="shared" ref="Q55:Q62" si="17">SUM(E55:P55)</f>
        <v>2745670.6400000006</v>
      </c>
      <c r="R55" s="401" t="b">
        <v>1</v>
      </c>
    </row>
    <row r="56" spans="2:18" x14ac:dyDescent="0.2">
      <c r="B56" s="802"/>
      <c r="C56" s="805"/>
      <c r="D56" s="405" t="s">
        <v>68</v>
      </c>
      <c r="E56" s="406">
        <v>101087.55</v>
      </c>
      <c r="F56" s="406">
        <v>79024.789999999994</v>
      </c>
      <c r="G56" s="406">
        <v>117758.34</v>
      </c>
      <c r="H56" s="406">
        <v>162896.26999999999</v>
      </c>
      <c r="I56" s="406">
        <v>141408.59</v>
      </c>
      <c r="J56" s="406">
        <v>119792.31</v>
      </c>
      <c r="K56" s="406">
        <v>185185.92000000001</v>
      </c>
      <c r="L56" s="406">
        <v>147677.29</v>
      </c>
      <c r="M56" s="406">
        <v>120704.03</v>
      </c>
      <c r="N56" s="406">
        <v>99615.2</v>
      </c>
      <c r="O56" s="406">
        <v>76993.06</v>
      </c>
      <c r="P56" s="442">
        <v>214626.49</v>
      </c>
      <c r="Q56" s="433">
        <f t="shared" si="17"/>
        <v>1566769.8399999999</v>
      </c>
      <c r="R56" s="401" t="b">
        <v>1</v>
      </c>
    </row>
    <row r="57" spans="2:18" ht="16.5" thickBot="1" x14ac:dyDescent="0.25">
      <c r="B57" s="802"/>
      <c r="C57" s="805"/>
      <c r="D57" s="408" t="s">
        <v>276</v>
      </c>
      <c r="E57" s="409">
        <v>1321931.1399999999</v>
      </c>
      <c r="F57" s="409">
        <v>1389322.21</v>
      </c>
      <c r="G57" s="409">
        <v>1538203.32</v>
      </c>
      <c r="H57" s="409">
        <v>1491058.01</v>
      </c>
      <c r="I57" s="409">
        <v>1501150.15</v>
      </c>
      <c r="J57" s="409">
        <v>1488698.58</v>
      </c>
      <c r="K57" s="409">
        <v>1527792.79</v>
      </c>
      <c r="L57" s="409">
        <v>1569509.75</v>
      </c>
      <c r="M57" s="409">
        <v>1663201.68</v>
      </c>
      <c r="N57" s="409">
        <v>1816328.24</v>
      </c>
      <c r="O57" s="409">
        <v>2055374.69</v>
      </c>
      <c r="P57" s="443">
        <v>2172677.2799999998</v>
      </c>
      <c r="Q57" s="434">
        <f t="shared" si="17"/>
        <v>19535247.84</v>
      </c>
      <c r="R57" s="401" t="b">
        <v>1</v>
      </c>
    </row>
    <row r="58" spans="2:18" ht="17.25" hidden="1" thickTop="1" thickBot="1" x14ac:dyDescent="0.25">
      <c r="B58" s="802"/>
      <c r="C58" s="805"/>
      <c r="D58" s="411" t="s">
        <v>73</v>
      </c>
      <c r="E58" s="412">
        <v>0</v>
      </c>
      <c r="F58" s="412">
        <v>0</v>
      </c>
      <c r="G58" s="412">
        <v>0</v>
      </c>
      <c r="H58" s="412">
        <v>0</v>
      </c>
      <c r="I58" s="412">
        <v>0</v>
      </c>
      <c r="J58" s="412">
        <v>0</v>
      </c>
      <c r="K58" s="412">
        <v>0</v>
      </c>
      <c r="L58" s="412">
        <v>0</v>
      </c>
      <c r="M58" s="412">
        <v>0</v>
      </c>
      <c r="N58" s="412">
        <v>0</v>
      </c>
      <c r="O58" s="412">
        <v>0</v>
      </c>
      <c r="P58" s="444">
        <v>0</v>
      </c>
      <c r="Q58" s="435">
        <f t="shared" si="17"/>
        <v>0</v>
      </c>
      <c r="R58" s="401" t="b">
        <v>1</v>
      </c>
    </row>
    <row r="59" spans="2:18" ht="17.25" thickTop="1" thickBot="1" x14ac:dyDescent="0.25">
      <c r="B59" s="802"/>
      <c r="C59" s="806"/>
      <c r="D59" s="424" t="s">
        <v>277</v>
      </c>
      <c r="E59" s="414">
        <f t="shared" ref="E59" si="18">SUM(E54:E58)</f>
        <v>58042965.32</v>
      </c>
      <c r="F59" s="425">
        <f t="shared" ref="F59:P59" si="19">SUM(F54:F58)</f>
        <v>64380727.749999993</v>
      </c>
      <c r="G59" s="425">
        <f t="shared" si="19"/>
        <v>82977913.329999998</v>
      </c>
      <c r="H59" s="425">
        <f t="shared" si="19"/>
        <v>64295128.20000001</v>
      </c>
      <c r="I59" s="425">
        <f t="shared" si="19"/>
        <v>73025464.940000013</v>
      </c>
      <c r="J59" s="425">
        <f t="shared" si="19"/>
        <v>85456518.030000016</v>
      </c>
      <c r="K59" s="425">
        <f t="shared" si="19"/>
        <v>75600498.640000015</v>
      </c>
      <c r="L59" s="425">
        <f t="shared" si="19"/>
        <v>84264468.170000032</v>
      </c>
      <c r="M59" s="425">
        <f t="shared" si="19"/>
        <v>101521708.81</v>
      </c>
      <c r="N59" s="425">
        <f t="shared" si="19"/>
        <v>86440793.959999993</v>
      </c>
      <c r="O59" s="425">
        <f t="shared" si="19"/>
        <v>96038547.290000007</v>
      </c>
      <c r="P59" s="450">
        <f t="shared" si="19"/>
        <v>123438336.26999998</v>
      </c>
      <c r="Q59" s="439">
        <f t="shared" si="17"/>
        <v>995483070.71000004</v>
      </c>
      <c r="R59" s="401" t="b">
        <v>1</v>
      </c>
    </row>
    <row r="60" spans="2:18" x14ac:dyDescent="0.2">
      <c r="B60" s="802"/>
      <c r="C60" s="807" t="s">
        <v>278</v>
      </c>
      <c r="D60" s="808"/>
      <c r="E60" s="406">
        <v>1347917.34</v>
      </c>
      <c r="F60" s="415">
        <v>300323.59999999998</v>
      </c>
      <c r="G60" s="415">
        <v>88468.1</v>
      </c>
      <c r="H60" s="415">
        <v>0</v>
      </c>
      <c r="I60" s="415">
        <v>0</v>
      </c>
      <c r="J60" s="415">
        <v>0</v>
      </c>
      <c r="K60" s="415">
        <v>0</v>
      </c>
      <c r="L60" s="415">
        <v>0</v>
      </c>
      <c r="M60" s="415">
        <v>-114734.05</v>
      </c>
      <c r="N60" s="415">
        <v>0</v>
      </c>
      <c r="O60" s="415">
        <v>0</v>
      </c>
      <c r="P60" s="446">
        <v>-8389.17</v>
      </c>
      <c r="Q60" s="437">
        <f t="shared" si="17"/>
        <v>1613585.82</v>
      </c>
      <c r="R60" s="401" t="b">
        <v>1</v>
      </c>
    </row>
    <row r="61" spans="2:18" ht="16.5" thickBot="1" x14ac:dyDescent="0.25">
      <c r="B61" s="802"/>
      <c r="C61" s="809" t="s">
        <v>279</v>
      </c>
      <c r="D61" s="810"/>
      <c r="E61" s="409">
        <v>67618.789999999994</v>
      </c>
      <c r="F61" s="409">
        <v>75719.360000000001</v>
      </c>
      <c r="G61" s="409">
        <v>94344.12</v>
      </c>
      <c r="H61" s="409">
        <v>50475.35</v>
      </c>
      <c r="I61" s="409">
        <v>100653.75999999999</v>
      </c>
      <c r="J61" s="409">
        <v>127096.27</v>
      </c>
      <c r="K61" s="409">
        <v>70911.37</v>
      </c>
      <c r="L61" s="409">
        <v>110351.64</v>
      </c>
      <c r="M61" s="409">
        <v>117585.95</v>
      </c>
      <c r="N61" s="409">
        <v>122940.18</v>
      </c>
      <c r="O61" s="409">
        <v>154102.35</v>
      </c>
      <c r="P61" s="443">
        <v>118754.35</v>
      </c>
      <c r="Q61" s="434">
        <f t="shared" si="17"/>
        <v>1210553.4900000002</v>
      </c>
      <c r="R61" s="401" t="b">
        <v>1</v>
      </c>
    </row>
    <row r="62" spans="2:18" ht="16.5" thickTop="1" x14ac:dyDescent="0.2">
      <c r="B62" s="802"/>
      <c r="C62" s="807" t="s">
        <v>127</v>
      </c>
      <c r="D62" s="808"/>
      <c r="E62" s="417">
        <f t="shared" ref="E62" si="20">E59+E60+E61</f>
        <v>59458501.450000003</v>
      </c>
      <c r="F62" s="417">
        <f t="shared" ref="F62:P62" si="21">F59+F60+F61</f>
        <v>64756770.709999993</v>
      </c>
      <c r="G62" s="417">
        <f t="shared" si="21"/>
        <v>83160725.549999997</v>
      </c>
      <c r="H62" s="417">
        <f t="shared" si="21"/>
        <v>64345603.550000012</v>
      </c>
      <c r="I62" s="417">
        <f t="shared" si="21"/>
        <v>73126118.700000018</v>
      </c>
      <c r="J62" s="417">
        <f t="shared" si="21"/>
        <v>85583614.300000012</v>
      </c>
      <c r="K62" s="417">
        <f t="shared" si="21"/>
        <v>75671410.01000002</v>
      </c>
      <c r="L62" s="417">
        <f t="shared" si="21"/>
        <v>84374819.810000032</v>
      </c>
      <c r="M62" s="417">
        <f t="shared" si="21"/>
        <v>101524560.71000001</v>
      </c>
      <c r="N62" s="417">
        <f t="shared" si="21"/>
        <v>86563734.140000001</v>
      </c>
      <c r="O62" s="417">
        <f t="shared" si="21"/>
        <v>96192649.640000001</v>
      </c>
      <c r="P62" s="447">
        <f t="shared" si="21"/>
        <v>123548701.44999997</v>
      </c>
      <c r="Q62" s="437">
        <f t="shared" si="17"/>
        <v>998307210.0200001</v>
      </c>
      <c r="R62" s="401" t="b">
        <v>1</v>
      </c>
    </row>
    <row r="63" spans="2:18" x14ac:dyDescent="0.2">
      <c r="B63" s="802"/>
      <c r="C63" s="811" t="s">
        <v>115</v>
      </c>
      <c r="D63" s="812"/>
      <c r="E63" s="418">
        <v>166313</v>
      </c>
      <c r="F63" s="418">
        <v>164589</v>
      </c>
      <c r="G63" s="418">
        <v>175924</v>
      </c>
      <c r="H63" s="418">
        <v>180706</v>
      </c>
      <c r="I63" s="418">
        <v>186477</v>
      </c>
      <c r="J63" s="418">
        <v>195625</v>
      </c>
      <c r="K63" s="418">
        <v>199866</v>
      </c>
      <c r="L63" s="418">
        <v>217664</v>
      </c>
      <c r="M63" s="418">
        <v>224449</v>
      </c>
      <c r="N63" s="418">
        <v>235118</v>
      </c>
      <c r="O63" s="418">
        <v>261360</v>
      </c>
      <c r="P63" s="448">
        <v>292363</v>
      </c>
      <c r="Q63" s="438">
        <f>AVERAGE(E63:P63)</f>
        <v>208371.16666666666</v>
      </c>
      <c r="R63" s="401" t="b">
        <v>1</v>
      </c>
    </row>
    <row r="64" spans="2:18" ht="16.5" thickBot="1" x14ac:dyDescent="0.25">
      <c r="B64" s="803"/>
      <c r="C64" s="813" t="s">
        <v>280</v>
      </c>
      <c r="D64" s="814"/>
      <c r="E64" s="422">
        <v>357.50964416491797</v>
      </c>
      <c r="F64" s="421">
        <v>393.44531353857178</v>
      </c>
      <c r="G64" s="421">
        <v>472.70824645869806</v>
      </c>
      <c r="H64" s="421">
        <v>356.07895448961301</v>
      </c>
      <c r="I64" s="421">
        <v>392.14551231519181</v>
      </c>
      <c r="J64" s="421">
        <v>437.48812421725245</v>
      </c>
      <c r="K64" s="422">
        <v>378.61071923188547</v>
      </c>
      <c r="L64" s="422">
        <v>387.63791812150851</v>
      </c>
      <c r="M64" s="422">
        <v>452.3279707639598</v>
      </c>
      <c r="N64" s="422">
        <v>368.17144642264736</v>
      </c>
      <c r="O64" s="422">
        <v>368.0465627486991</v>
      </c>
      <c r="P64" s="449">
        <v>422.5866523807731</v>
      </c>
      <c r="Q64" s="451">
        <f t="shared" ref="Q64" si="22">Q62/Q63</f>
        <v>4791.0045616676016</v>
      </c>
      <c r="R64" s="401" t="b">
        <v>1</v>
      </c>
    </row>
    <row r="65" spans="2:18" x14ac:dyDescent="0.2">
      <c r="B65" s="802" t="s">
        <v>281</v>
      </c>
      <c r="C65" s="804" t="s">
        <v>274</v>
      </c>
      <c r="D65" s="402" t="s">
        <v>50</v>
      </c>
      <c r="E65" s="403">
        <v>66951215.049999997</v>
      </c>
      <c r="F65" s="403">
        <v>74347086.839999989</v>
      </c>
      <c r="G65" s="403">
        <v>96699887.409999996</v>
      </c>
      <c r="H65" s="403">
        <v>74995464.870000005</v>
      </c>
      <c r="I65" s="403">
        <v>85409358.120000005</v>
      </c>
      <c r="J65" s="403">
        <v>100509295.40000001</v>
      </c>
      <c r="K65" s="403">
        <v>88573946.319999993</v>
      </c>
      <c r="L65" s="403">
        <v>98674874.430000022</v>
      </c>
      <c r="M65" s="403">
        <v>118954705.61999999</v>
      </c>
      <c r="N65" s="403">
        <v>98362057.00999999</v>
      </c>
      <c r="O65" s="403">
        <v>104488008.04000001</v>
      </c>
      <c r="P65" s="441">
        <v>129094369.92999999</v>
      </c>
      <c r="Q65" s="432">
        <f>SUM(E65:P65)</f>
        <v>1137060269.04</v>
      </c>
      <c r="R65" s="401" t="b">
        <v>1</v>
      </c>
    </row>
    <row r="66" spans="2:18" x14ac:dyDescent="0.2">
      <c r="B66" s="802"/>
      <c r="C66" s="805"/>
      <c r="D66" s="405" t="s">
        <v>275</v>
      </c>
      <c r="E66" s="406">
        <v>212967.42</v>
      </c>
      <c r="F66" s="406">
        <v>167965.22</v>
      </c>
      <c r="G66" s="406">
        <v>257368.01</v>
      </c>
      <c r="H66" s="406">
        <v>238409.48999999996</v>
      </c>
      <c r="I66" s="406">
        <v>200318.03999999998</v>
      </c>
      <c r="J66" s="406">
        <v>255013.19999999998</v>
      </c>
      <c r="K66" s="406">
        <v>252644.56</v>
      </c>
      <c r="L66" s="406">
        <v>216087.46</v>
      </c>
      <c r="M66" s="406">
        <v>290917.81</v>
      </c>
      <c r="N66" s="406">
        <v>297780.43</v>
      </c>
      <c r="O66" s="406">
        <v>255450.88</v>
      </c>
      <c r="P66" s="442">
        <v>298389.3</v>
      </c>
      <c r="Q66" s="433">
        <f t="shared" ref="Q66:Q73" si="23">SUM(E66:P66)</f>
        <v>2943311.82</v>
      </c>
      <c r="R66" s="401" t="b">
        <v>1</v>
      </c>
    </row>
    <row r="67" spans="2:18" x14ac:dyDescent="0.2">
      <c r="B67" s="802"/>
      <c r="C67" s="805"/>
      <c r="D67" s="405" t="s">
        <v>68</v>
      </c>
      <c r="E67" s="406">
        <v>101087.55</v>
      </c>
      <c r="F67" s="406">
        <v>79024.789999999994</v>
      </c>
      <c r="G67" s="406">
        <v>117758.34</v>
      </c>
      <c r="H67" s="406">
        <v>162896.26999999999</v>
      </c>
      <c r="I67" s="406">
        <v>144617.25</v>
      </c>
      <c r="J67" s="406">
        <v>123211.98999999999</v>
      </c>
      <c r="K67" s="406">
        <v>188394.58000000002</v>
      </c>
      <c r="L67" s="406">
        <v>149054.63</v>
      </c>
      <c r="M67" s="406">
        <v>138007.51999999999</v>
      </c>
      <c r="N67" s="406">
        <v>104958.95</v>
      </c>
      <c r="O67" s="406">
        <v>83641.63</v>
      </c>
      <c r="P67" s="442">
        <v>214626.49</v>
      </c>
      <c r="Q67" s="433">
        <f t="shared" si="23"/>
        <v>1607279.99</v>
      </c>
      <c r="R67" s="401" t="b">
        <v>1</v>
      </c>
    </row>
    <row r="68" spans="2:18" ht="16.5" thickBot="1" x14ac:dyDescent="0.25">
      <c r="B68" s="802"/>
      <c r="C68" s="805"/>
      <c r="D68" s="408" t="s">
        <v>276</v>
      </c>
      <c r="E68" s="409">
        <v>1768275.5799999998</v>
      </c>
      <c r="F68" s="409">
        <v>1839659.22</v>
      </c>
      <c r="G68" s="409">
        <v>2062607.54</v>
      </c>
      <c r="H68" s="409">
        <v>1980029.96</v>
      </c>
      <c r="I68" s="409">
        <v>2001525.02</v>
      </c>
      <c r="J68" s="409">
        <v>1982031.54</v>
      </c>
      <c r="K68" s="409">
        <v>2010257.42</v>
      </c>
      <c r="L68" s="409">
        <v>2071896.76</v>
      </c>
      <c r="M68" s="409">
        <v>2182492.77</v>
      </c>
      <c r="N68" s="409">
        <v>2305575.06</v>
      </c>
      <c r="O68" s="409">
        <v>2435516.38</v>
      </c>
      <c r="P68" s="443">
        <v>2484474.8699999996</v>
      </c>
      <c r="Q68" s="434">
        <f t="shared" si="23"/>
        <v>25124342.119999997</v>
      </c>
      <c r="R68" s="401" t="b">
        <v>1</v>
      </c>
    </row>
    <row r="69" spans="2:18" ht="17.25" hidden="1" thickTop="1" thickBot="1" x14ac:dyDescent="0.25">
      <c r="B69" s="802"/>
      <c r="C69" s="805"/>
      <c r="D69" s="411" t="s">
        <v>73</v>
      </c>
      <c r="E69" s="412">
        <v>0</v>
      </c>
      <c r="F69" s="412">
        <v>0</v>
      </c>
      <c r="G69" s="412">
        <v>0</v>
      </c>
      <c r="H69" s="412">
        <v>0</v>
      </c>
      <c r="I69" s="412">
        <v>0</v>
      </c>
      <c r="J69" s="412">
        <v>0</v>
      </c>
      <c r="K69" s="412">
        <v>0</v>
      </c>
      <c r="L69" s="412">
        <v>0</v>
      </c>
      <c r="M69" s="412">
        <v>0</v>
      </c>
      <c r="N69" s="412">
        <v>0</v>
      </c>
      <c r="O69" s="412">
        <v>0</v>
      </c>
      <c r="P69" s="444">
        <v>0</v>
      </c>
      <c r="Q69" s="435">
        <f t="shared" si="23"/>
        <v>0</v>
      </c>
      <c r="R69" s="401" t="b">
        <v>1</v>
      </c>
    </row>
    <row r="70" spans="2:18" ht="17.25" thickTop="1" thickBot="1" x14ac:dyDescent="0.25">
      <c r="B70" s="802"/>
      <c r="C70" s="806"/>
      <c r="D70" s="424" t="s">
        <v>277</v>
      </c>
      <c r="E70" s="414">
        <f t="shared" ref="E70" si="24">SUM(E65:E69)</f>
        <v>69033545.599999994</v>
      </c>
      <c r="F70" s="425">
        <f t="shared" ref="F70:P70" si="25">SUM(F65:F69)</f>
        <v>76433736.069999993</v>
      </c>
      <c r="G70" s="425">
        <f t="shared" si="25"/>
        <v>99137621.300000012</v>
      </c>
      <c r="H70" s="425">
        <f t="shared" si="25"/>
        <v>77376800.589999989</v>
      </c>
      <c r="I70" s="425">
        <f t="shared" si="25"/>
        <v>87755818.430000007</v>
      </c>
      <c r="J70" s="425">
        <f t="shared" si="25"/>
        <v>102869552.13000001</v>
      </c>
      <c r="K70" s="425">
        <f t="shared" si="25"/>
        <v>91025242.879999995</v>
      </c>
      <c r="L70" s="425">
        <f t="shared" si="25"/>
        <v>101111913.28000002</v>
      </c>
      <c r="M70" s="425">
        <f t="shared" si="25"/>
        <v>121566123.71999998</v>
      </c>
      <c r="N70" s="425">
        <f t="shared" si="25"/>
        <v>101070371.45</v>
      </c>
      <c r="O70" s="425">
        <f t="shared" si="25"/>
        <v>107262616.92999999</v>
      </c>
      <c r="P70" s="450">
        <f t="shared" si="25"/>
        <v>132091860.58999999</v>
      </c>
      <c r="Q70" s="439">
        <f t="shared" si="23"/>
        <v>1166735202.97</v>
      </c>
      <c r="R70" s="401" t="b">
        <v>1</v>
      </c>
    </row>
    <row r="71" spans="2:18" x14ac:dyDescent="0.2">
      <c r="B71" s="802"/>
      <c r="C71" s="807" t="s">
        <v>278</v>
      </c>
      <c r="D71" s="808"/>
      <c r="E71" s="406">
        <v>1580645.28</v>
      </c>
      <c r="F71" s="415">
        <v>433312.51</v>
      </c>
      <c r="G71" s="415">
        <v>136299.13</v>
      </c>
      <c r="H71" s="415">
        <v>0</v>
      </c>
      <c r="I71" s="415">
        <v>0</v>
      </c>
      <c r="J71" s="415">
        <v>0</v>
      </c>
      <c r="K71" s="415">
        <v>0</v>
      </c>
      <c r="L71" s="415">
        <v>0</v>
      </c>
      <c r="M71" s="415">
        <v>-118975.08</v>
      </c>
      <c r="N71" s="415">
        <v>0</v>
      </c>
      <c r="O71" s="415">
        <v>0</v>
      </c>
      <c r="P71" s="446">
        <v>-8509.59</v>
      </c>
      <c r="Q71" s="437">
        <f t="shared" si="23"/>
        <v>2022772.2499999998</v>
      </c>
      <c r="R71" s="401" t="b">
        <v>1</v>
      </c>
    </row>
    <row r="72" spans="2:18" ht="16.5" thickBot="1" x14ac:dyDescent="0.25">
      <c r="B72" s="802"/>
      <c r="C72" s="809" t="s">
        <v>279</v>
      </c>
      <c r="D72" s="810"/>
      <c r="E72" s="409">
        <v>67978.789999999994</v>
      </c>
      <c r="F72" s="409">
        <v>75719.360000000001</v>
      </c>
      <c r="G72" s="409">
        <v>98980.44</v>
      </c>
      <c r="H72" s="409">
        <v>50875.35</v>
      </c>
      <c r="I72" s="409">
        <v>103087.92</v>
      </c>
      <c r="J72" s="409">
        <v>131833.63</v>
      </c>
      <c r="K72" s="409">
        <v>74374.569999999992</v>
      </c>
      <c r="L72" s="409">
        <v>113218.59</v>
      </c>
      <c r="M72" s="409">
        <v>120997.67</v>
      </c>
      <c r="N72" s="409">
        <v>126616.18999999999</v>
      </c>
      <c r="O72" s="409">
        <v>172373.11000000002</v>
      </c>
      <c r="P72" s="443">
        <v>121954.23000000001</v>
      </c>
      <c r="Q72" s="434">
        <f t="shared" si="23"/>
        <v>1258009.8499999999</v>
      </c>
      <c r="R72" s="401" t="b">
        <v>1</v>
      </c>
    </row>
    <row r="73" spans="2:18" ht="16.5" thickTop="1" x14ac:dyDescent="0.2">
      <c r="B73" s="802"/>
      <c r="C73" s="807" t="s">
        <v>127</v>
      </c>
      <c r="D73" s="808"/>
      <c r="E73" s="417">
        <f t="shared" ref="E73" si="26">E70+E71+E72</f>
        <v>70682169.670000002</v>
      </c>
      <c r="F73" s="417">
        <f t="shared" ref="F73:P73" si="27">F70+F71+F72</f>
        <v>76942767.939999998</v>
      </c>
      <c r="G73" s="417">
        <f t="shared" si="27"/>
        <v>99372900.870000005</v>
      </c>
      <c r="H73" s="417">
        <f t="shared" si="27"/>
        <v>77427675.939999983</v>
      </c>
      <c r="I73" s="417">
        <f t="shared" si="27"/>
        <v>87858906.350000009</v>
      </c>
      <c r="J73" s="417">
        <f t="shared" si="27"/>
        <v>103001385.76000001</v>
      </c>
      <c r="K73" s="417">
        <f t="shared" si="27"/>
        <v>91099617.449999988</v>
      </c>
      <c r="L73" s="417">
        <f t="shared" si="27"/>
        <v>101225131.87000002</v>
      </c>
      <c r="M73" s="417">
        <f t="shared" si="27"/>
        <v>121568146.30999999</v>
      </c>
      <c r="N73" s="417">
        <f t="shared" si="27"/>
        <v>101196987.64</v>
      </c>
      <c r="O73" s="417">
        <f t="shared" si="27"/>
        <v>107434990.03999999</v>
      </c>
      <c r="P73" s="447">
        <f t="shared" si="27"/>
        <v>132205305.22999999</v>
      </c>
      <c r="Q73" s="437">
        <f t="shared" si="23"/>
        <v>1170015985.0699999</v>
      </c>
      <c r="R73" s="401" t="b">
        <v>1</v>
      </c>
    </row>
    <row r="74" spans="2:18" x14ac:dyDescent="0.2">
      <c r="B74" s="802"/>
      <c r="C74" s="811" t="s">
        <v>115</v>
      </c>
      <c r="D74" s="812"/>
      <c r="E74" s="418">
        <v>223370</v>
      </c>
      <c r="F74" s="418">
        <v>221675</v>
      </c>
      <c r="G74" s="418">
        <v>236304</v>
      </c>
      <c r="H74" s="418">
        <v>241027</v>
      </c>
      <c r="I74" s="418">
        <v>251529</v>
      </c>
      <c r="J74" s="418">
        <v>264041</v>
      </c>
      <c r="K74" s="418">
        <v>265062</v>
      </c>
      <c r="L74" s="418">
        <v>290898</v>
      </c>
      <c r="M74" s="418">
        <v>296675</v>
      </c>
      <c r="N74" s="418">
        <v>298918</v>
      </c>
      <c r="O74" s="418">
        <v>311848</v>
      </c>
      <c r="P74" s="448">
        <v>355845</v>
      </c>
      <c r="Q74" s="438">
        <f>AVERAGE(E74:P74)</f>
        <v>271432.66666666669</v>
      </c>
      <c r="R74" s="401" t="b">
        <v>1</v>
      </c>
    </row>
    <row r="75" spans="2:18" ht="16.5" thickBot="1" x14ac:dyDescent="0.25">
      <c r="B75" s="803"/>
      <c r="C75" s="813" t="s">
        <v>280</v>
      </c>
      <c r="D75" s="814"/>
      <c r="E75" s="422">
        <v>316.43537480413664</v>
      </c>
      <c r="F75" s="421">
        <v>347.0971825420097</v>
      </c>
      <c r="G75" s="421">
        <v>420.52991430530165</v>
      </c>
      <c r="H75" s="421">
        <v>321.24067403236972</v>
      </c>
      <c r="I75" s="421">
        <v>349.29931081505515</v>
      </c>
      <c r="J75" s="421">
        <v>390.09618112338615</v>
      </c>
      <c r="K75" s="422">
        <v>343.69173042533441</v>
      </c>
      <c r="L75" s="422">
        <v>347.97465733693605</v>
      </c>
      <c r="M75" s="422">
        <v>409.76875810230047</v>
      </c>
      <c r="N75" s="422">
        <v>338.54430860637365</v>
      </c>
      <c r="O75" s="422">
        <v>344.51075536799976</v>
      </c>
      <c r="P75" s="449">
        <v>371.52497640826761</v>
      </c>
      <c r="Q75" s="451">
        <f t="shared" ref="Q75" si="28">Q73/Q74</f>
        <v>4310.5201722342426</v>
      </c>
      <c r="R75" s="401" t="b">
        <v>1</v>
      </c>
    </row>
    <row r="76" spans="2:18" x14ac:dyDescent="0.2">
      <c r="B76" s="815" t="s">
        <v>24</v>
      </c>
      <c r="C76" s="815"/>
      <c r="D76" s="815"/>
      <c r="E76" s="815"/>
      <c r="F76" s="815"/>
      <c r="G76" s="815"/>
      <c r="H76" s="815"/>
      <c r="I76" s="815"/>
      <c r="J76" s="815"/>
      <c r="K76" s="815"/>
      <c r="L76" s="815"/>
      <c r="M76" s="815"/>
      <c r="N76" s="815"/>
      <c r="O76" s="815"/>
      <c r="P76" s="815"/>
      <c r="Q76" s="815"/>
    </row>
    <row r="77" spans="2:18" ht="15.75" customHeight="1" x14ac:dyDescent="0.2">
      <c r="B77" s="816" t="s">
        <v>282</v>
      </c>
      <c r="C77" s="816"/>
      <c r="D77" s="816"/>
      <c r="E77" s="816"/>
      <c r="F77" s="816"/>
      <c r="G77" s="816"/>
      <c r="H77" s="816"/>
      <c r="I77" s="816"/>
      <c r="J77" s="816"/>
      <c r="K77" s="816"/>
      <c r="L77" s="816"/>
      <c r="M77" s="816"/>
      <c r="N77" s="816"/>
      <c r="O77" s="816"/>
      <c r="P77" s="816"/>
      <c r="Q77" s="816"/>
    </row>
    <row r="78" spans="2:18" ht="15.75" customHeight="1" x14ac:dyDescent="0.2">
      <c r="B78" s="817" t="s">
        <v>287</v>
      </c>
      <c r="C78" s="817"/>
      <c r="D78" s="817"/>
      <c r="E78" s="817"/>
      <c r="F78" s="817"/>
      <c r="G78" s="817"/>
      <c r="H78" s="817"/>
      <c r="I78" s="817"/>
      <c r="J78" s="817"/>
      <c r="K78" s="817"/>
      <c r="L78" s="817"/>
      <c r="M78" s="817"/>
      <c r="N78" s="817"/>
      <c r="O78" s="817"/>
      <c r="P78" s="817"/>
      <c r="Q78" s="817"/>
    </row>
    <row r="80" spans="2:18" ht="16.5" thickBot="1" x14ac:dyDescent="0.25">
      <c r="B80" s="798" t="s">
        <v>286</v>
      </c>
      <c r="C80" s="798"/>
      <c r="D80" s="798"/>
      <c r="E80" s="798"/>
      <c r="F80" s="798"/>
      <c r="G80" s="798"/>
      <c r="H80" s="798"/>
      <c r="I80" s="798"/>
      <c r="J80" s="798"/>
      <c r="K80" s="798"/>
      <c r="L80" s="798"/>
      <c r="M80" s="798"/>
      <c r="N80" s="798"/>
      <c r="O80" s="798"/>
      <c r="P80" s="798"/>
      <c r="Q80" s="798"/>
    </row>
    <row r="81" spans="2:17" ht="16.5" thickBot="1" x14ac:dyDescent="0.25">
      <c r="B81" s="397" t="s">
        <v>271</v>
      </c>
      <c r="C81" s="799" t="s">
        <v>49</v>
      </c>
      <c r="D81" s="800"/>
      <c r="E81" s="398">
        <v>42186</v>
      </c>
      <c r="F81" s="399">
        <v>42217</v>
      </c>
      <c r="G81" s="399">
        <v>42248</v>
      </c>
      <c r="H81" s="399">
        <v>42278</v>
      </c>
      <c r="I81" s="399">
        <v>42309</v>
      </c>
      <c r="J81" s="399">
        <v>42339</v>
      </c>
      <c r="K81" s="399">
        <v>42370</v>
      </c>
      <c r="L81" s="399">
        <v>42401</v>
      </c>
      <c r="M81" s="399">
        <v>42430</v>
      </c>
      <c r="N81" s="399">
        <v>42461</v>
      </c>
      <c r="O81" s="399">
        <v>42491</v>
      </c>
      <c r="P81" s="399">
        <v>42522</v>
      </c>
      <c r="Q81" s="400" t="s">
        <v>250</v>
      </c>
    </row>
    <row r="82" spans="2:17" x14ac:dyDescent="0.2">
      <c r="B82" s="801" t="s">
        <v>273</v>
      </c>
      <c r="C82" s="804" t="s">
        <v>274</v>
      </c>
      <c r="D82" s="426" t="s">
        <v>50</v>
      </c>
      <c r="E82" s="403"/>
      <c r="F82" s="403">
        <v>8566874.1500000004</v>
      </c>
      <c r="G82" s="403">
        <v>6861785.040000001</v>
      </c>
      <c r="H82" s="403">
        <v>7141601.4100000001</v>
      </c>
      <c r="I82" s="403"/>
      <c r="J82" s="403"/>
      <c r="K82" s="403"/>
      <c r="L82" s="403"/>
      <c r="M82" s="403"/>
      <c r="N82" s="403"/>
      <c r="O82" s="403"/>
      <c r="P82" s="403"/>
      <c r="Q82" s="404">
        <f>SUM(E82:P82)</f>
        <v>22570260.600000001</v>
      </c>
    </row>
    <row r="83" spans="2:17" x14ac:dyDescent="0.2">
      <c r="B83" s="802"/>
      <c r="C83" s="805"/>
      <c r="D83" s="427" t="s">
        <v>275</v>
      </c>
      <c r="E83" s="406"/>
      <c r="F83" s="406">
        <v>359.25</v>
      </c>
      <c r="G83" s="406">
        <v>491.29</v>
      </c>
      <c r="H83" s="406">
        <v>2271</v>
      </c>
      <c r="I83" s="406"/>
      <c r="J83" s="406"/>
      <c r="K83" s="406"/>
      <c r="L83" s="406"/>
      <c r="M83" s="406"/>
      <c r="N83" s="406"/>
      <c r="O83" s="406"/>
      <c r="P83" s="406"/>
      <c r="Q83" s="407">
        <f t="shared" ref="Q83:Q90" si="29">SUM(E83:P83)</f>
        <v>3121.54</v>
      </c>
    </row>
    <row r="84" spans="2:17" x14ac:dyDescent="0.2">
      <c r="B84" s="802"/>
      <c r="C84" s="805"/>
      <c r="D84" s="427" t="s">
        <v>68</v>
      </c>
      <c r="E84" s="406"/>
      <c r="F84" s="406">
        <v>0</v>
      </c>
      <c r="G84" s="406">
        <v>0</v>
      </c>
      <c r="H84" s="406">
        <v>0</v>
      </c>
      <c r="I84" s="406"/>
      <c r="J84" s="406"/>
      <c r="K84" s="406"/>
      <c r="L84" s="406"/>
      <c r="M84" s="406"/>
      <c r="N84" s="406"/>
      <c r="O84" s="406"/>
      <c r="P84" s="406"/>
      <c r="Q84" s="407">
        <f t="shared" si="29"/>
        <v>0</v>
      </c>
    </row>
    <row r="85" spans="2:17" x14ac:dyDescent="0.2">
      <c r="B85" s="802"/>
      <c r="C85" s="805"/>
      <c r="D85" s="427" t="s">
        <v>276</v>
      </c>
      <c r="E85" s="406"/>
      <c r="F85" s="406">
        <v>247224.83</v>
      </c>
      <c r="G85" s="406">
        <v>265894.2</v>
      </c>
      <c r="H85" s="406">
        <v>277106.90999999997</v>
      </c>
      <c r="I85" s="406"/>
      <c r="J85" s="406"/>
      <c r="K85" s="406"/>
      <c r="L85" s="406"/>
      <c r="M85" s="406"/>
      <c r="N85" s="406"/>
      <c r="O85" s="406"/>
      <c r="P85" s="406"/>
      <c r="Q85" s="407">
        <f t="shared" si="29"/>
        <v>790225.94</v>
      </c>
    </row>
    <row r="86" spans="2:17" ht="16.5" thickBot="1" x14ac:dyDescent="0.25">
      <c r="B86" s="802"/>
      <c r="C86" s="805"/>
      <c r="D86" s="428" t="s">
        <v>73</v>
      </c>
      <c r="E86" s="409"/>
      <c r="F86" s="409">
        <v>0</v>
      </c>
      <c r="G86" s="409">
        <v>0</v>
      </c>
      <c r="H86" s="409">
        <v>0</v>
      </c>
      <c r="I86" s="409"/>
      <c r="J86" s="409"/>
      <c r="K86" s="409"/>
      <c r="L86" s="409"/>
      <c r="M86" s="409"/>
      <c r="N86" s="409"/>
      <c r="O86" s="409"/>
      <c r="P86" s="409"/>
      <c r="Q86" s="410">
        <f t="shared" si="29"/>
        <v>0</v>
      </c>
    </row>
    <row r="87" spans="2:17" ht="16.5" thickTop="1" x14ac:dyDescent="0.2">
      <c r="B87" s="802"/>
      <c r="C87" s="820"/>
      <c r="D87" s="429" t="s">
        <v>277</v>
      </c>
      <c r="E87" s="417">
        <f>SUM(E82:E86)</f>
        <v>0</v>
      </c>
      <c r="F87" s="417">
        <f t="shared" ref="F87:P87" si="30">SUM(F82:F86)</f>
        <v>8814458.2300000004</v>
      </c>
      <c r="G87" s="417">
        <f t="shared" si="30"/>
        <v>7128170.5300000012</v>
      </c>
      <c r="H87" s="417">
        <f t="shared" si="30"/>
        <v>7420979.3200000003</v>
      </c>
      <c r="I87" s="417">
        <f t="shared" si="30"/>
        <v>0</v>
      </c>
      <c r="J87" s="417">
        <f t="shared" si="30"/>
        <v>0</v>
      </c>
      <c r="K87" s="417">
        <f t="shared" si="30"/>
        <v>0</v>
      </c>
      <c r="L87" s="417">
        <f t="shared" si="30"/>
        <v>0</v>
      </c>
      <c r="M87" s="417">
        <f t="shared" si="30"/>
        <v>0</v>
      </c>
      <c r="N87" s="417">
        <f t="shared" si="30"/>
        <v>0</v>
      </c>
      <c r="O87" s="417">
        <f t="shared" si="30"/>
        <v>0</v>
      </c>
      <c r="P87" s="417">
        <f t="shared" si="30"/>
        <v>0</v>
      </c>
      <c r="Q87" s="416">
        <f t="shared" si="29"/>
        <v>23363608.080000002</v>
      </c>
    </row>
    <row r="88" spans="2:17" x14ac:dyDescent="0.2">
      <c r="B88" s="802"/>
      <c r="C88" s="818" t="s">
        <v>278</v>
      </c>
      <c r="D88" s="819"/>
      <c r="E88" s="406"/>
      <c r="F88" s="406">
        <v>2054738.57</v>
      </c>
      <c r="G88" s="406">
        <v>2097869.7599999998</v>
      </c>
      <c r="H88" s="406">
        <v>2139782.15</v>
      </c>
      <c r="I88" s="406"/>
      <c r="J88" s="406"/>
      <c r="K88" s="406"/>
      <c r="L88" s="406"/>
      <c r="M88" s="406"/>
      <c r="N88" s="406"/>
      <c r="O88" s="406"/>
      <c r="P88" s="406"/>
      <c r="Q88" s="407">
        <f t="shared" si="29"/>
        <v>6292390.4800000004</v>
      </c>
    </row>
    <row r="89" spans="2:17" ht="16.5" thickBot="1" x14ac:dyDescent="0.25">
      <c r="B89" s="802"/>
      <c r="C89" s="809" t="s">
        <v>279</v>
      </c>
      <c r="D89" s="810"/>
      <c r="E89" s="409"/>
      <c r="F89" s="409">
        <v>8299.52</v>
      </c>
      <c r="G89" s="409">
        <v>2138.1</v>
      </c>
      <c r="H89" s="409">
        <v>6520.7</v>
      </c>
      <c r="I89" s="409"/>
      <c r="J89" s="409"/>
      <c r="K89" s="409"/>
      <c r="L89" s="409"/>
      <c r="M89" s="409"/>
      <c r="N89" s="409"/>
      <c r="O89" s="409"/>
      <c r="P89" s="409"/>
      <c r="Q89" s="410">
        <f t="shared" si="29"/>
        <v>16958.32</v>
      </c>
    </row>
    <row r="90" spans="2:17" ht="16.5" thickTop="1" x14ac:dyDescent="0.2">
      <c r="B90" s="802"/>
      <c r="C90" s="807" t="s">
        <v>127</v>
      </c>
      <c r="D90" s="808"/>
      <c r="E90" s="417">
        <f>E87+E88+E89</f>
        <v>0</v>
      </c>
      <c r="F90" s="417">
        <f t="shared" ref="F90:P90" si="31">F87+F88+F89</f>
        <v>10877496.32</v>
      </c>
      <c r="G90" s="417">
        <f t="shared" si="31"/>
        <v>9228178.3900000006</v>
      </c>
      <c r="H90" s="417">
        <f t="shared" si="31"/>
        <v>9567282.1699999999</v>
      </c>
      <c r="I90" s="417">
        <f t="shared" si="31"/>
        <v>0</v>
      </c>
      <c r="J90" s="417">
        <f t="shared" si="31"/>
        <v>0</v>
      </c>
      <c r="K90" s="417">
        <f t="shared" si="31"/>
        <v>0</v>
      </c>
      <c r="L90" s="417">
        <f t="shared" si="31"/>
        <v>0</v>
      </c>
      <c r="M90" s="417">
        <f t="shared" si="31"/>
        <v>0</v>
      </c>
      <c r="N90" s="417">
        <f t="shared" si="31"/>
        <v>0</v>
      </c>
      <c r="O90" s="417">
        <f t="shared" si="31"/>
        <v>0</v>
      </c>
      <c r="P90" s="417">
        <f t="shared" si="31"/>
        <v>0</v>
      </c>
      <c r="Q90" s="416">
        <f t="shared" si="29"/>
        <v>29672956.880000003</v>
      </c>
    </row>
    <row r="91" spans="2:17" x14ac:dyDescent="0.2">
      <c r="B91" s="802"/>
      <c r="C91" s="818" t="s">
        <v>115</v>
      </c>
      <c r="D91" s="819"/>
      <c r="E91" s="418"/>
      <c r="F91" s="418"/>
      <c r="G91" s="418"/>
      <c r="H91" s="418"/>
      <c r="I91" s="418"/>
      <c r="J91" s="418"/>
      <c r="K91" s="418"/>
      <c r="L91" s="418"/>
      <c r="M91" s="418"/>
      <c r="N91" s="418"/>
      <c r="O91" s="418"/>
      <c r="P91" s="418"/>
      <c r="Q91" s="419" t="e">
        <f>AVERAGE(E91:P91)</f>
        <v>#DIV/0!</v>
      </c>
    </row>
    <row r="92" spans="2:17" ht="16.5" thickBot="1" x14ac:dyDescent="0.25">
      <c r="B92" s="803"/>
      <c r="C92" s="813" t="s">
        <v>280</v>
      </c>
      <c r="D92" s="814"/>
      <c r="E92" s="420" t="e">
        <f>E90/E91</f>
        <v>#DIV/0!</v>
      </c>
      <c r="F92" s="421" t="e">
        <f t="shared" ref="F92:Q92" si="32">F90/F91</f>
        <v>#DIV/0!</v>
      </c>
      <c r="G92" s="421" t="e">
        <f t="shared" si="32"/>
        <v>#DIV/0!</v>
      </c>
      <c r="H92" s="421" t="e">
        <f t="shared" si="32"/>
        <v>#DIV/0!</v>
      </c>
      <c r="I92" s="421" t="e">
        <f t="shared" si="32"/>
        <v>#DIV/0!</v>
      </c>
      <c r="J92" s="421" t="e">
        <f t="shared" si="32"/>
        <v>#DIV/0!</v>
      </c>
      <c r="K92" s="422" t="e">
        <f t="shared" si="32"/>
        <v>#DIV/0!</v>
      </c>
      <c r="L92" s="422" t="e">
        <f t="shared" si="32"/>
        <v>#DIV/0!</v>
      </c>
      <c r="M92" s="422" t="e">
        <f t="shared" si="32"/>
        <v>#DIV/0!</v>
      </c>
      <c r="N92" s="422" t="e">
        <f t="shared" si="32"/>
        <v>#DIV/0!</v>
      </c>
      <c r="O92" s="422" t="e">
        <f t="shared" si="32"/>
        <v>#DIV/0!</v>
      </c>
      <c r="P92" s="422" t="e">
        <f t="shared" si="32"/>
        <v>#DIV/0!</v>
      </c>
      <c r="Q92" s="423" t="e">
        <f t="shared" si="32"/>
        <v>#DIV/0!</v>
      </c>
    </row>
    <row r="93" spans="2:17" x14ac:dyDescent="0.2">
      <c r="B93" s="801" t="s">
        <v>136</v>
      </c>
      <c r="C93" s="804" t="s">
        <v>274</v>
      </c>
      <c r="D93" s="426" t="s">
        <v>50</v>
      </c>
      <c r="E93" s="403"/>
      <c r="F93" s="403">
        <v>130421150.50999999</v>
      </c>
      <c r="G93" s="403">
        <v>108251703.80000001</v>
      </c>
      <c r="H93" s="403">
        <v>105164817.40999998</v>
      </c>
      <c r="I93" s="403"/>
      <c r="J93" s="403"/>
      <c r="K93" s="403"/>
      <c r="L93" s="403"/>
      <c r="M93" s="403"/>
      <c r="N93" s="403"/>
      <c r="O93" s="403"/>
      <c r="P93" s="403"/>
      <c r="Q93" s="404">
        <f>SUM(E93:P93)</f>
        <v>343837671.71999997</v>
      </c>
    </row>
    <row r="94" spans="2:17" x14ac:dyDescent="0.2">
      <c r="B94" s="802"/>
      <c r="C94" s="805"/>
      <c r="D94" s="427" t="s">
        <v>275</v>
      </c>
      <c r="E94" s="406"/>
      <c r="F94" s="406">
        <v>557663.2300000001</v>
      </c>
      <c r="G94" s="406">
        <v>405434.5</v>
      </c>
      <c r="H94" s="406">
        <v>386007.94</v>
      </c>
      <c r="I94" s="406"/>
      <c r="J94" s="406"/>
      <c r="K94" s="406"/>
      <c r="L94" s="406"/>
      <c r="M94" s="406"/>
      <c r="N94" s="406"/>
      <c r="O94" s="406"/>
      <c r="P94" s="406"/>
      <c r="Q94" s="407">
        <f t="shared" ref="Q94:Q101" si="33">SUM(E94:P94)</f>
        <v>1349105.6700000002</v>
      </c>
    </row>
    <row r="95" spans="2:17" x14ac:dyDescent="0.2">
      <c r="B95" s="802"/>
      <c r="C95" s="805"/>
      <c r="D95" s="427" t="s">
        <v>68</v>
      </c>
      <c r="E95" s="406"/>
      <c r="F95" s="406">
        <v>418115.25</v>
      </c>
      <c r="G95" s="406">
        <v>151718.98000000001</v>
      </c>
      <c r="H95" s="406">
        <v>284390.23</v>
      </c>
      <c r="I95" s="406"/>
      <c r="J95" s="406"/>
      <c r="K95" s="406"/>
      <c r="L95" s="406"/>
      <c r="M95" s="406"/>
      <c r="N95" s="406"/>
      <c r="O95" s="406"/>
      <c r="P95" s="406"/>
      <c r="Q95" s="407">
        <f t="shared" si="33"/>
        <v>854224.46</v>
      </c>
    </row>
    <row r="96" spans="2:17" x14ac:dyDescent="0.2">
      <c r="B96" s="802"/>
      <c r="C96" s="805"/>
      <c r="D96" s="427" t="s">
        <v>276</v>
      </c>
      <c r="E96" s="406"/>
      <c r="F96" s="406">
        <v>2407902.4500000002</v>
      </c>
      <c r="G96" s="406">
        <v>2653267.9500000002</v>
      </c>
      <c r="H96" s="406">
        <v>2718511.28</v>
      </c>
      <c r="I96" s="406"/>
      <c r="J96" s="406"/>
      <c r="K96" s="406"/>
      <c r="L96" s="406"/>
      <c r="M96" s="406"/>
      <c r="N96" s="406"/>
      <c r="O96" s="406"/>
      <c r="P96" s="406"/>
      <c r="Q96" s="407">
        <f t="shared" si="33"/>
        <v>7779681.6799999997</v>
      </c>
    </row>
    <row r="97" spans="2:17" ht="16.5" thickBot="1" x14ac:dyDescent="0.25">
      <c r="B97" s="802"/>
      <c r="C97" s="805"/>
      <c r="D97" s="428" t="s">
        <v>73</v>
      </c>
      <c r="E97" s="409"/>
      <c r="F97" s="409">
        <v>0</v>
      </c>
      <c r="G97" s="409">
        <v>0</v>
      </c>
      <c r="H97" s="409">
        <v>0</v>
      </c>
      <c r="I97" s="409"/>
      <c r="J97" s="409"/>
      <c r="K97" s="409"/>
      <c r="L97" s="409"/>
      <c r="M97" s="409"/>
      <c r="N97" s="409"/>
      <c r="O97" s="409"/>
      <c r="P97" s="409"/>
      <c r="Q97" s="410">
        <f t="shared" si="33"/>
        <v>0</v>
      </c>
    </row>
    <row r="98" spans="2:17" ht="16.5" thickTop="1" x14ac:dyDescent="0.2">
      <c r="B98" s="802"/>
      <c r="C98" s="820"/>
      <c r="D98" s="429" t="s">
        <v>277</v>
      </c>
      <c r="E98" s="417">
        <f>SUM(E93:E97)</f>
        <v>0</v>
      </c>
      <c r="F98" s="417">
        <f t="shared" ref="F98:P98" si="34">SUM(F93:F97)</f>
        <v>133804831.44</v>
      </c>
      <c r="G98" s="417">
        <f t="shared" si="34"/>
        <v>111462125.23000002</v>
      </c>
      <c r="H98" s="417">
        <f t="shared" si="34"/>
        <v>108553726.85999998</v>
      </c>
      <c r="I98" s="417">
        <f t="shared" si="34"/>
        <v>0</v>
      </c>
      <c r="J98" s="417">
        <f t="shared" si="34"/>
        <v>0</v>
      </c>
      <c r="K98" s="417">
        <f t="shared" si="34"/>
        <v>0</v>
      </c>
      <c r="L98" s="417">
        <f t="shared" si="34"/>
        <v>0</v>
      </c>
      <c r="M98" s="417">
        <f t="shared" si="34"/>
        <v>0</v>
      </c>
      <c r="N98" s="417">
        <f t="shared" si="34"/>
        <v>0</v>
      </c>
      <c r="O98" s="417">
        <f t="shared" si="34"/>
        <v>0</v>
      </c>
      <c r="P98" s="417">
        <f t="shared" si="34"/>
        <v>0</v>
      </c>
      <c r="Q98" s="416">
        <f t="shared" si="33"/>
        <v>353820683.52999997</v>
      </c>
    </row>
    <row r="99" spans="2:17" x14ac:dyDescent="0.2">
      <c r="B99" s="802"/>
      <c r="C99" s="818" t="s">
        <v>278</v>
      </c>
      <c r="D99" s="819"/>
      <c r="E99" s="406"/>
      <c r="F99" s="406">
        <v>19674016.100000001</v>
      </c>
      <c r="G99" s="406">
        <v>20238774.77</v>
      </c>
      <c r="H99" s="406">
        <v>20313196.379999999</v>
      </c>
      <c r="I99" s="406"/>
      <c r="J99" s="406"/>
      <c r="K99" s="406"/>
      <c r="L99" s="406"/>
      <c r="M99" s="406"/>
      <c r="N99" s="406"/>
      <c r="O99" s="406"/>
      <c r="P99" s="406"/>
      <c r="Q99" s="407">
        <f t="shared" si="33"/>
        <v>60225987.25</v>
      </c>
    </row>
    <row r="100" spans="2:17" ht="16.5" thickBot="1" x14ac:dyDescent="0.25">
      <c r="B100" s="802"/>
      <c r="C100" s="809" t="s">
        <v>279</v>
      </c>
      <c r="D100" s="810"/>
      <c r="E100" s="409"/>
      <c r="F100" s="409">
        <v>179155.64</v>
      </c>
      <c r="G100" s="409">
        <v>90850.59</v>
      </c>
      <c r="H100" s="409">
        <v>169150.83</v>
      </c>
      <c r="I100" s="409"/>
      <c r="J100" s="409"/>
      <c r="K100" s="409"/>
      <c r="L100" s="409"/>
      <c r="M100" s="409"/>
      <c r="N100" s="409"/>
      <c r="O100" s="409"/>
      <c r="P100" s="409"/>
      <c r="Q100" s="410">
        <f t="shared" si="33"/>
        <v>439157.05999999994</v>
      </c>
    </row>
    <row r="101" spans="2:17" ht="16.5" thickTop="1" x14ac:dyDescent="0.2">
      <c r="B101" s="802"/>
      <c r="C101" s="807" t="s">
        <v>127</v>
      </c>
      <c r="D101" s="808"/>
      <c r="E101" s="417">
        <f>E98+E99+E100</f>
        <v>0</v>
      </c>
      <c r="F101" s="417">
        <f t="shared" ref="F101:P101" si="35">F98+F99+F100</f>
        <v>153658003.17999998</v>
      </c>
      <c r="G101" s="417">
        <f t="shared" si="35"/>
        <v>131791750.59000002</v>
      </c>
      <c r="H101" s="417">
        <f t="shared" si="35"/>
        <v>129036074.06999998</v>
      </c>
      <c r="I101" s="417">
        <f t="shared" si="35"/>
        <v>0</v>
      </c>
      <c r="J101" s="417">
        <f t="shared" si="35"/>
        <v>0</v>
      </c>
      <c r="K101" s="417">
        <f t="shared" si="35"/>
        <v>0</v>
      </c>
      <c r="L101" s="417">
        <f t="shared" si="35"/>
        <v>0</v>
      </c>
      <c r="M101" s="417">
        <f t="shared" si="35"/>
        <v>0</v>
      </c>
      <c r="N101" s="417">
        <f t="shared" si="35"/>
        <v>0</v>
      </c>
      <c r="O101" s="417">
        <f t="shared" si="35"/>
        <v>0</v>
      </c>
      <c r="P101" s="417">
        <f t="shared" si="35"/>
        <v>0</v>
      </c>
      <c r="Q101" s="416">
        <f t="shared" si="33"/>
        <v>414485827.83999997</v>
      </c>
    </row>
    <row r="102" spans="2:17" x14ac:dyDescent="0.2">
      <c r="B102" s="802"/>
      <c r="C102" s="818" t="s">
        <v>115</v>
      </c>
      <c r="D102" s="819"/>
      <c r="E102" s="418"/>
      <c r="F102" s="418"/>
      <c r="G102" s="418"/>
      <c r="H102" s="418"/>
      <c r="I102" s="418"/>
      <c r="J102" s="418"/>
      <c r="K102" s="418"/>
      <c r="L102" s="418"/>
      <c r="M102" s="418"/>
      <c r="N102" s="418"/>
      <c r="O102" s="418"/>
      <c r="P102" s="418"/>
      <c r="Q102" s="419" t="e">
        <f>AVERAGE(E102:P102)</f>
        <v>#DIV/0!</v>
      </c>
    </row>
    <row r="103" spans="2:17" ht="16.5" thickBot="1" x14ac:dyDescent="0.25">
      <c r="B103" s="803"/>
      <c r="C103" s="821" t="s">
        <v>280</v>
      </c>
      <c r="D103" s="822"/>
      <c r="E103" s="420" t="e">
        <f>E101/E102</f>
        <v>#DIV/0!</v>
      </c>
      <c r="F103" s="421" t="e">
        <f t="shared" ref="F103:Q103" si="36">F101/F102</f>
        <v>#DIV/0!</v>
      </c>
      <c r="G103" s="421" t="e">
        <f t="shared" si="36"/>
        <v>#DIV/0!</v>
      </c>
      <c r="H103" s="421" t="e">
        <f t="shared" si="36"/>
        <v>#DIV/0!</v>
      </c>
      <c r="I103" s="421" t="e">
        <f t="shared" si="36"/>
        <v>#DIV/0!</v>
      </c>
      <c r="J103" s="421" t="e">
        <f t="shared" si="36"/>
        <v>#DIV/0!</v>
      </c>
      <c r="K103" s="422" t="e">
        <f t="shared" si="36"/>
        <v>#DIV/0!</v>
      </c>
      <c r="L103" s="422" t="e">
        <f t="shared" si="36"/>
        <v>#DIV/0!</v>
      </c>
      <c r="M103" s="422" t="e">
        <f t="shared" si="36"/>
        <v>#DIV/0!</v>
      </c>
      <c r="N103" s="422" t="e">
        <f t="shared" si="36"/>
        <v>#DIV/0!</v>
      </c>
      <c r="O103" s="422" t="e">
        <f t="shared" si="36"/>
        <v>#DIV/0!</v>
      </c>
      <c r="P103" s="422" t="e">
        <f t="shared" si="36"/>
        <v>#DIV/0!</v>
      </c>
      <c r="Q103" s="423" t="e">
        <f t="shared" si="36"/>
        <v>#DIV/0!</v>
      </c>
    </row>
    <row r="104" spans="2:17" x14ac:dyDescent="0.2">
      <c r="B104" s="802" t="s">
        <v>281</v>
      </c>
      <c r="C104" s="804" t="s">
        <v>274</v>
      </c>
      <c r="D104" s="429" t="s">
        <v>50</v>
      </c>
      <c r="E104" s="403">
        <f>E82+E93</f>
        <v>0</v>
      </c>
      <c r="F104" s="403">
        <f t="shared" ref="F104:J104" si="37">F82+F93</f>
        <v>138988024.66</v>
      </c>
      <c r="G104" s="403">
        <f t="shared" si="37"/>
        <v>115113488.84000002</v>
      </c>
      <c r="H104" s="403">
        <f t="shared" si="37"/>
        <v>112306418.81999998</v>
      </c>
      <c r="I104" s="403">
        <f t="shared" si="37"/>
        <v>0</v>
      </c>
      <c r="J104" s="403">
        <f t="shared" si="37"/>
        <v>0</v>
      </c>
      <c r="K104" s="403">
        <f>K82+K93</f>
        <v>0</v>
      </c>
      <c r="L104" s="403">
        <f t="shared" ref="L104:P104" si="38">L82+L93</f>
        <v>0</v>
      </c>
      <c r="M104" s="403">
        <f t="shared" si="38"/>
        <v>0</v>
      </c>
      <c r="N104" s="403">
        <f t="shared" si="38"/>
        <v>0</v>
      </c>
      <c r="O104" s="403">
        <f t="shared" si="38"/>
        <v>0</v>
      </c>
      <c r="P104" s="403">
        <f t="shared" si="38"/>
        <v>0</v>
      </c>
      <c r="Q104" s="404">
        <f>SUM(E104:P104)</f>
        <v>366407932.31999999</v>
      </c>
    </row>
    <row r="105" spans="2:17" x14ac:dyDescent="0.2">
      <c r="B105" s="802"/>
      <c r="C105" s="805"/>
      <c r="D105" s="427" t="s">
        <v>275</v>
      </c>
      <c r="E105" s="406">
        <f t="shared" ref="E105:P108" si="39">E83+E94</f>
        <v>0</v>
      </c>
      <c r="F105" s="406">
        <f t="shared" si="39"/>
        <v>558022.4800000001</v>
      </c>
      <c r="G105" s="406">
        <f t="shared" si="39"/>
        <v>405925.79</v>
      </c>
      <c r="H105" s="406">
        <f t="shared" si="39"/>
        <v>388278.94</v>
      </c>
      <c r="I105" s="406">
        <f t="shared" si="39"/>
        <v>0</v>
      </c>
      <c r="J105" s="406">
        <f t="shared" si="39"/>
        <v>0</v>
      </c>
      <c r="K105" s="406">
        <f t="shared" si="39"/>
        <v>0</v>
      </c>
      <c r="L105" s="406">
        <f t="shared" si="39"/>
        <v>0</v>
      </c>
      <c r="M105" s="406">
        <f t="shared" si="39"/>
        <v>0</v>
      </c>
      <c r="N105" s="406">
        <f t="shared" si="39"/>
        <v>0</v>
      </c>
      <c r="O105" s="406">
        <f t="shared" si="39"/>
        <v>0</v>
      </c>
      <c r="P105" s="406">
        <f t="shared" si="39"/>
        <v>0</v>
      </c>
      <c r="Q105" s="407">
        <f t="shared" ref="Q105:Q112" si="40">SUM(E105:P105)</f>
        <v>1352227.21</v>
      </c>
    </row>
    <row r="106" spans="2:17" x14ac:dyDescent="0.2">
      <c r="B106" s="802"/>
      <c r="C106" s="805"/>
      <c r="D106" s="427" t="s">
        <v>68</v>
      </c>
      <c r="E106" s="406">
        <f t="shared" si="39"/>
        <v>0</v>
      </c>
      <c r="F106" s="406">
        <f t="shared" si="39"/>
        <v>418115.25</v>
      </c>
      <c r="G106" s="406">
        <f t="shared" si="39"/>
        <v>151718.98000000001</v>
      </c>
      <c r="H106" s="406">
        <f t="shared" si="39"/>
        <v>284390.23</v>
      </c>
      <c r="I106" s="406">
        <f t="shared" si="39"/>
        <v>0</v>
      </c>
      <c r="J106" s="406">
        <f t="shared" si="39"/>
        <v>0</v>
      </c>
      <c r="K106" s="406">
        <f t="shared" si="39"/>
        <v>0</v>
      </c>
      <c r="L106" s="406">
        <f t="shared" si="39"/>
        <v>0</v>
      </c>
      <c r="M106" s="406">
        <f t="shared" si="39"/>
        <v>0</v>
      </c>
      <c r="N106" s="406">
        <f t="shared" si="39"/>
        <v>0</v>
      </c>
      <c r="O106" s="406">
        <f t="shared" si="39"/>
        <v>0</v>
      </c>
      <c r="P106" s="406">
        <f t="shared" si="39"/>
        <v>0</v>
      </c>
      <c r="Q106" s="407">
        <f t="shared" si="40"/>
        <v>854224.46</v>
      </c>
    </row>
    <row r="107" spans="2:17" x14ac:dyDescent="0.2">
      <c r="B107" s="802"/>
      <c r="C107" s="805"/>
      <c r="D107" s="427" t="s">
        <v>276</v>
      </c>
      <c r="E107" s="406">
        <f t="shared" si="39"/>
        <v>0</v>
      </c>
      <c r="F107" s="406">
        <f t="shared" si="39"/>
        <v>2655127.2800000003</v>
      </c>
      <c r="G107" s="406">
        <f t="shared" si="39"/>
        <v>2919162.1500000004</v>
      </c>
      <c r="H107" s="406">
        <f t="shared" si="39"/>
        <v>2995618.19</v>
      </c>
      <c r="I107" s="406">
        <f t="shared" si="39"/>
        <v>0</v>
      </c>
      <c r="J107" s="406">
        <f t="shared" si="39"/>
        <v>0</v>
      </c>
      <c r="K107" s="406">
        <f t="shared" si="39"/>
        <v>0</v>
      </c>
      <c r="L107" s="406">
        <f t="shared" si="39"/>
        <v>0</v>
      </c>
      <c r="M107" s="406">
        <f t="shared" si="39"/>
        <v>0</v>
      </c>
      <c r="N107" s="406">
        <f t="shared" si="39"/>
        <v>0</v>
      </c>
      <c r="O107" s="406">
        <f t="shared" si="39"/>
        <v>0</v>
      </c>
      <c r="P107" s="406">
        <f t="shared" si="39"/>
        <v>0</v>
      </c>
      <c r="Q107" s="407">
        <f t="shared" si="40"/>
        <v>8569907.620000001</v>
      </c>
    </row>
    <row r="108" spans="2:17" ht="16.5" thickBot="1" x14ac:dyDescent="0.25">
      <c r="B108" s="802"/>
      <c r="C108" s="805"/>
      <c r="D108" s="428" t="s">
        <v>73</v>
      </c>
      <c r="E108" s="409">
        <f t="shared" si="39"/>
        <v>0</v>
      </c>
      <c r="F108" s="409">
        <f t="shared" si="39"/>
        <v>0</v>
      </c>
      <c r="G108" s="409">
        <f t="shared" si="39"/>
        <v>0</v>
      </c>
      <c r="H108" s="409">
        <f t="shared" si="39"/>
        <v>0</v>
      </c>
      <c r="I108" s="409">
        <f t="shared" si="39"/>
        <v>0</v>
      </c>
      <c r="J108" s="409">
        <f t="shared" si="39"/>
        <v>0</v>
      </c>
      <c r="K108" s="409">
        <f t="shared" si="39"/>
        <v>0</v>
      </c>
      <c r="L108" s="409">
        <f t="shared" si="39"/>
        <v>0</v>
      </c>
      <c r="M108" s="409">
        <f t="shared" si="39"/>
        <v>0</v>
      </c>
      <c r="N108" s="409">
        <f t="shared" si="39"/>
        <v>0</v>
      </c>
      <c r="O108" s="409">
        <f t="shared" si="39"/>
        <v>0</v>
      </c>
      <c r="P108" s="409">
        <f t="shared" si="39"/>
        <v>0</v>
      </c>
      <c r="Q108" s="410">
        <f t="shared" si="40"/>
        <v>0</v>
      </c>
    </row>
    <row r="109" spans="2:17" ht="16.5" thickTop="1" x14ac:dyDescent="0.2">
      <c r="B109" s="802"/>
      <c r="C109" s="820"/>
      <c r="D109" s="429" t="s">
        <v>277</v>
      </c>
      <c r="E109" s="417">
        <f>SUM(E104:E108)</f>
        <v>0</v>
      </c>
      <c r="F109" s="417">
        <f t="shared" ref="F109:P109" si="41">SUM(F104:F108)</f>
        <v>142619289.66999999</v>
      </c>
      <c r="G109" s="417">
        <f t="shared" si="41"/>
        <v>118590295.76000004</v>
      </c>
      <c r="H109" s="417">
        <f t="shared" si="41"/>
        <v>115974706.17999998</v>
      </c>
      <c r="I109" s="417">
        <f t="shared" si="41"/>
        <v>0</v>
      </c>
      <c r="J109" s="417">
        <f t="shared" si="41"/>
        <v>0</v>
      </c>
      <c r="K109" s="417">
        <f t="shared" si="41"/>
        <v>0</v>
      </c>
      <c r="L109" s="417">
        <f t="shared" si="41"/>
        <v>0</v>
      </c>
      <c r="M109" s="417">
        <f t="shared" si="41"/>
        <v>0</v>
      </c>
      <c r="N109" s="417">
        <f t="shared" si="41"/>
        <v>0</v>
      </c>
      <c r="O109" s="417">
        <f t="shared" si="41"/>
        <v>0</v>
      </c>
      <c r="P109" s="417">
        <f t="shared" si="41"/>
        <v>0</v>
      </c>
      <c r="Q109" s="416">
        <f t="shared" si="40"/>
        <v>377184291.61000001</v>
      </c>
    </row>
    <row r="110" spans="2:17" x14ac:dyDescent="0.2">
      <c r="B110" s="802"/>
      <c r="C110" s="818" t="s">
        <v>278</v>
      </c>
      <c r="D110" s="819"/>
      <c r="E110" s="406">
        <f>E88+E99</f>
        <v>0</v>
      </c>
      <c r="F110" s="406">
        <f t="shared" ref="F110:J111" si="42">F88+F99</f>
        <v>21728754.670000002</v>
      </c>
      <c r="G110" s="406">
        <f t="shared" si="42"/>
        <v>22336644.530000001</v>
      </c>
      <c r="H110" s="406">
        <f t="shared" si="42"/>
        <v>22452978.529999997</v>
      </c>
      <c r="I110" s="406">
        <f t="shared" si="42"/>
        <v>0</v>
      </c>
      <c r="J110" s="406">
        <f t="shared" si="42"/>
        <v>0</v>
      </c>
      <c r="K110" s="406">
        <f>K88+K99</f>
        <v>0</v>
      </c>
      <c r="L110" s="406">
        <f t="shared" ref="L110:P111" si="43">L88+L99</f>
        <v>0</v>
      </c>
      <c r="M110" s="406">
        <f t="shared" si="43"/>
        <v>0</v>
      </c>
      <c r="N110" s="406">
        <f t="shared" si="43"/>
        <v>0</v>
      </c>
      <c r="O110" s="406">
        <f t="shared" si="43"/>
        <v>0</v>
      </c>
      <c r="P110" s="406">
        <f t="shared" si="43"/>
        <v>0</v>
      </c>
      <c r="Q110" s="407">
        <f t="shared" si="40"/>
        <v>66518377.730000004</v>
      </c>
    </row>
    <row r="111" spans="2:17" ht="16.5" thickBot="1" x14ac:dyDescent="0.25">
      <c r="B111" s="802"/>
      <c r="C111" s="809" t="s">
        <v>279</v>
      </c>
      <c r="D111" s="810"/>
      <c r="E111" s="409">
        <f>E89+E100</f>
        <v>0</v>
      </c>
      <c r="F111" s="409">
        <f t="shared" si="42"/>
        <v>187455.16</v>
      </c>
      <c r="G111" s="409">
        <f t="shared" si="42"/>
        <v>92988.69</v>
      </c>
      <c r="H111" s="409">
        <f t="shared" si="42"/>
        <v>175671.53</v>
      </c>
      <c r="I111" s="409">
        <f t="shared" si="42"/>
        <v>0</v>
      </c>
      <c r="J111" s="409">
        <f t="shared" si="42"/>
        <v>0</v>
      </c>
      <c r="K111" s="409">
        <f>K89+K100</f>
        <v>0</v>
      </c>
      <c r="L111" s="409">
        <f t="shared" si="43"/>
        <v>0</v>
      </c>
      <c r="M111" s="409">
        <f t="shared" si="43"/>
        <v>0</v>
      </c>
      <c r="N111" s="409">
        <f t="shared" si="43"/>
        <v>0</v>
      </c>
      <c r="O111" s="409">
        <f t="shared" si="43"/>
        <v>0</v>
      </c>
      <c r="P111" s="409">
        <f t="shared" si="43"/>
        <v>0</v>
      </c>
      <c r="Q111" s="410">
        <f t="shared" si="40"/>
        <v>456115.38</v>
      </c>
    </row>
    <row r="112" spans="2:17" ht="16.5" thickTop="1" x14ac:dyDescent="0.2">
      <c r="B112" s="802"/>
      <c r="C112" s="807" t="s">
        <v>127</v>
      </c>
      <c r="D112" s="808"/>
      <c r="E112" s="417">
        <f>E109+E110+E111</f>
        <v>0</v>
      </c>
      <c r="F112" s="417">
        <f t="shared" ref="F112:P112" si="44">F109+F110+F111</f>
        <v>164535499.49999997</v>
      </c>
      <c r="G112" s="417">
        <f t="shared" si="44"/>
        <v>141019928.98000002</v>
      </c>
      <c r="H112" s="417">
        <f t="shared" si="44"/>
        <v>138603356.23999998</v>
      </c>
      <c r="I112" s="417">
        <f t="shared" si="44"/>
        <v>0</v>
      </c>
      <c r="J112" s="417">
        <f t="shared" si="44"/>
        <v>0</v>
      </c>
      <c r="K112" s="417">
        <f t="shared" si="44"/>
        <v>0</v>
      </c>
      <c r="L112" s="417">
        <f t="shared" si="44"/>
        <v>0</v>
      </c>
      <c r="M112" s="417">
        <f t="shared" si="44"/>
        <v>0</v>
      </c>
      <c r="N112" s="417">
        <f t="shared" si="44"/>
        <v>0</v>
      </c>
      <c r="O112" s="417">
        <f t="shared" si="44"/>
        <v>0</v>
      </c>
      <c r="P112" s="417">
        <f t="shared" si="44"/>
        <v>0</v>
      </c>
      <c r="Q112" s="416">
        <f t="shared" si="40"/>
        <v>444158784.72000003</v>
      </c>
    </row>
    <row r="113" spans="2:17" x14ac:dyDescent="0.2">
      <c r="B113" s="802"/>
      <c r="C113" s="818" t="s">
        <v>115</v>
      </c>
      <c r="D113" s="819"/>
      <c r="E113" s="418">
        <f>E91+E102</f>
        <v>0</v>
      </c>
      <c r="F113" s="418">
        <f t="shared" ref="F113:P113" si="45">F91+F102</f>
        <v>0</v>
      </c>
      <c r="G113" s="418">
        <f t="shared" si="45"/>
        <v>0</v>
      </c>
      <c r="H113" s="418">
        <f t="shared" si="45"/>
        <v>0</v>
      </c>
      <c r="I113" s="418">
        <f t="shared" si="45"/>
        <v>0</v>
      </c>
      <c r="J113" s="418">
        <f t="shared" si="45"/>
        <v>0</v>
      </c>
      <c r="K113" s="418">
        <f t="shared" si="45"/>
        <v>0</v>
      </c>
      <c r="L113" s="418">
        <f t="shared" si="45"/>
        <v>0</v>
      </c>
      <c r="M113" s="418">
        <f t="shared" si="45"/>
        <v>0</v>
      </c>
      <c r="N113" s="418">
        <f t="shared" si="45"/>
        <v>0</v>
      </c>
      <c r="O113" s="418">
        <f t="shared" si="45"/>
        <v>0</v>
      </c>
      <c r="P113" s="418">
        <f t="shared" si="45"/>
        <v>0</v>
      </c>
      <c r="Q113" s="419">
        <f>AVERAGE(E113:P113)</f>
        <v>0</v>
      </c>
    </row>
    <row r="114" spans="2:17" ht="16.5" thickBot="1" x14ac:dyDescent="0.25">
      <c r="B114" s="803"/>
      <c r="C114" s="821" t="s">
        <v>280</v>
      </c>
      <c r="D114" s="822"/>
      <c r="E114" s="420" t="e">
        <f>E112/E113</f>
        <v>#DIV/0!</v>
      </c>
      <c r="F114" s="421" t="e">
        <f t="shared" ref="F114:Q114" si="46">F112/F113</f>
        <v>#DIV/0!</v>
      </c>
      <c r="G114" s="421" t="e">
        <f t="shared" si="46"/>
        <v>#DIV/0!</v>
      </c>
      <c r="H114" s="421" t="e">
        <f t="shared" si="46"/>
        <v>#DIV/0!</v>
      </c>
      <c r="I114" s="421" t="e">
        <f t="shared" si="46"/>
        <v>#DIV/0!</v>
      </c>
      <c r="J114" s="421" t="e">
        <f t="shared" si="46"/>
        <v>#DIV/0!</v>
      </c>
      <c r="K114" s="422" t="e">
        <f t="shared" si="46"/>
        <v>#DIV/0!</v>
      </c>
      <c r="L114" s="422" t="e">
        <f t="shared" si="46"/>
        <v>#DIV/0!</v>
      </c>
      <c r="M114" s="422" t="e">
        <f t="shared" si="46"/>
        <v>#DIV/0!</v>
      </c>
      <c r="N114" s="422" t="e">
        <f t="shared" si="46"/>
        <v>#DIV/0!</v>
      </c>
      <c r="O114" s="422" t="e">
        <f t="shared" si="46"/>
        <v>#DIV/0!</v>
      </c>
      <c r="P114" s="422" t="e">
        <f t="shared" si="46"/>
        <v>#DIV/0!</v>
      </c>
      <c r="Q114" s="423" t="e">
        <f t="shared" si="46"/>
        <v>#DIV/0!</v>
      </c>
    </row>
    <row r="115" spans="2:17" x14ac:dyDescent="0.2">
      <c r="B115" s="815" t="s">
        <v>24</v>
      </c>
      <c r="C115" s="815"/>
      <c r="D115" s="815"/>
      <c r="E115" s="815"/>
      <c r="F115" s="815"/>
      <c r="G115" s="815"/>
      <c r="H115" s="815"/>
      <c r="I115" s="815"/>
      <c r="J115" s="815"/>
      <c r="K115" s="815"/>
      <c r="L115" s="815"/>
      <c r="M115" s="815"/>
      <c r="N115" s="815"/>
      <c r="O115" s="815"/>
      <c r="P115" s="815"/>
      <c r="Q115" s="815"/>
    </row>
    <row r="116" spans="2:17" x14ac:dyDescent="0.2">
      <c r="B116" s="816" t="s">
        <v>282</v>
      </c>
      <c r="C116" s="816"/>
      <c r="D116" s="816"/>
      <c r="E116" s="816"/>
      <c r="F116" s="816"/>
      <c r="G116" s="816"/>
      <c r="H116" s="816"/>
      <c r="I116" s="816"/>
      <c r="J116" s="816"/>
      <c r="K116" s="816"/>
      <c r="L116" s="816"/>
      <c r="M116" s="816"/>
      <c r="N116" s="816"/>
      <c r="O116" s="816"/>
      <c r="P116" s="816"/>
      <c r="Q116" s="816"/>
    </row>
    <row r="117" spans="2:17" x14ac:dyDescent="0.2">
      <c r="B117" s="816" t="s">
        <v>283</v>
      </c>
      <c r="C117" s="816"/>
      <c r="D117" s="816"/>
      <c r="E117" s="816"/>
      <c r="F117" s="816"/>
      <c r="G117" s="816"/>
      <c r="H117" s="816"/>
      <c r="I117" s="816"/>
      <c r="J117" s="816"/>
      <c r="K117" s="816"/>
      <c r="L117" s="816"/>
      <c r="M117" s="816"/>
      <c r="N117" s="816"/>
      <c r="O117" s="816"/>
      <c r="P117" s="816"/>
      <c r="Q117" s="816"/>
    </row>
  </sheetData>
  <mergeCells count="78">
    <mergeCell ref="B115:Q115"/>
    <mergeCell ref="B116:Q116"/>
    <mergeCell ref="B117:Q117"/>
    <mergeCell ref="B104:B114"/>
    <mergeCell ref="C104:C109"/>
    <mergeCell ref="C110:D110"/>
    <mergeCell ref="C111:D111"/>
    <mergeCell ref="C112:D112"/>
    <mergeCell ref="C113:D113"/>
    <mergeCell ref="C114:D114"/>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76:Q76"/>
    <mergeCell ref="B77:Q77"/>
    <mergeCell ref="B78:Q78"/>
    <mergeCell ref="B80:Q80"/>
    <mergeCell ref="C81:D81"/>
    <mergeCell ref="B65:B75"/>
    <mergeCell ref="C65:C70"/>
    <mergeCell ref="C71:D71"/>
    <mergeCell ref="C72:D72"/>
    <mergeCell ref="C73:D73"/>
    <mergeCell ref="C74:D74"/>
    <mergeCell ref="C75:D75"/>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37:Q37"/>
    <mergeCell ref="B38:Q38"/>
    <mergeCell ref="B39:Q39"/>
    <mergeCell ref="B41:Q41"/>
    <mergeCell ref="C42:D42"/>
    <mergeCell ref="B26:B36"/>
    <mergeCell ref="C26:C31"/>
    <mergeCell ref="C32:D32"/>
    <mergeCell ref="C33:D33"/>
    <mergeCell ref="C34:D34"/>
    <mergeCell ref="C35:D35"/>
    <mergeCell ref="C36:D36"/>
    <mergeCell ref="B15:B25"/>
    <mergeCell ref="C15:C20"/>
    <mergeCell ref="C21:D21"/>
    <mergeCell ref="C22:D22"/>
    <mergeCell ref="C23:D23"/>
    <mergeCell ref="C24:D24"/>
    <mergeCell ref="C25:D25"/>
    <mergeCell ref="B2:Q2"/>
    <mergeCell ref="C3:D3"/>
    <mergeCell ref="B4:B14"/>
    <mergeCell ref="C4:C9"/>
    <mergeCell ref="C10:D10"/>
    <mergeCell ref="C11:D11"/>
    <mergeCell ref="C12:D12"/>
    <mergeCell ref="C13:D13"/>
    <mergeCell ref="C14:D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21"/>
  <sheetViews>
    <sheetView workbookViewId="0"/>
  </sheetViews>
  <sheetFormatPr defaultColWidth="9.140625" defaultRowHeight="15.75" x14ac:dyDescent="0.25"/>
  <cols>
    <col min="1" max="1" width="15.7109375" style="18" bestFit="1" customWidth="1"/>
    <col min="2" max="3" width="9.140625" style="17"/>
    <col min="4" max="16384" width="9.140625" style="16"/>
  </cols>
  <sheetData>
    <row r="1" spans="1:3" x14ac:dyDescent="0.25">
      <c r="B1" s="17" t="s">
        <v>78</v>
      </c>
      <c r="C1" s="17" t="s">
        <v>79</v>
      </c>
    </row>
    <row r="2" spans="1:3" x14ac:dyDescent="0.25">
      <c r="A2" s="18">
        <v>39630</v>
      </c>
      <c r="B2" s="17" t="e">
        <f>#REF!</f>
        <v>#REF!</v>
      </c>
      <c r="C2" s="17" t="e">
        <f>'CBHP Caseload'!#REF!+'CBHP Caseload'!#REF!</f>
        <v>#REF!</v>
      </c>
    </row>
    <row r="3" spans="1:3" x14ac:dyDescent="0.25">
      <c r="A3" s="18">
        <v>39661</v>
      </c>
      <c r="B3" s="17" t="e">
        <f>#REF!</f>
        <v>#REF!</v>
      </c>
      <c r="C3" s="17" t="e">
        <f>'CBHP Caseload'!#REF!+'CBHP Caseload'!#REF!</f>
        <v>#REF!</v>
      </c>
    </row>
    <row r="4" spans="1:3" x14ac:dyDescent="0.25">
      <c r="A4" s="18">
        <v>39692</v>
      </c>
      <c r="B4" s="17" t="e">
        <f>#REF!</f>
        <v>#REF!</v>
      </c>
      <c r="C4" s="17" t="e">
        <f>'CBHP Caseload'!#REF!+'CBHP Caseload'!#REF!</f>
        <v>#REF!</v>
      </c>
    </row>
    <row r="5" spans="1:3" x14ac:dyDescent="0.25">
      <c r="A5" s="18">
        <v>39722</v>
      </c>
      <c r="B5" s="17" t="e">
        <f>#REF!</f>
        <v>#REF!</v>
      </c>
      <c r="C5" s="17" t="e">
        <f>'CBHP Caseload'!#REF!+'CBHP Caseload'!#REF!</f>
        <v>#REF!</v>
      </c>
    </row>
    <row r="6" spans="1:3" x14ac:dyDescent="0.25">
      <c r="A6" s="18">
        <v>39753</v>
      </c>
      <c r="B6" s="17" t="e">
        <f>#REF!</f>
        <v>#REF!</v>
      </c>
      <c r="C6" s="17" t="e">
        <f>'CBHP Caseload'!#REF!+'CBHP Caseload'!#REF!</f>
        <v>#REF!</v>
      </c>
    </row>
    <row r="7" spans="1:3" x14ac:dyDescent="0.25">
      <c r="A7" s="18">
        <v>39783</v>
      </c>
      <c r="B7" s="17" t="e">
        <f>#REF!</f>
        <v>#REF!</v>
      </c>
      <c r="C7" s="17" t="e">
        <f>'CBHP Caseload'!#REF!+'CBHP Caseload'!#REF!</f>
        <v>#REF!</v>
      </c>
    </row>
    <row r="8" spans="1:3" x14ac:dyDescent="0.25">
      <c r="A8" s="18">
        <v>39814</v>
      </c>
      <c r="B8" s="17" t="e">
        <f>#REF!</f>
        <v>#REF!</v>
      </c>
      <c r="C8" s="17" t="e">
        <f>'CBHP Caseload'!#REF!+'CBHP Caseload'!#REF!</f>
        <v>#REF!</v>
      </c>
    </row>
    <row r="9" spans="1:3" x14ac:dyDescent="0.25">
      <c r="A9" s="18">
        <v>39845</v>
      </c>
      <c r="B9" s="17" t="e">
        <f>#REF!</f>
        <v>#REF!</v>
      </c>
      <c r="C9" s="17" t="e">
        <f>'CBHP Caseload'!#REF!+'CBHP Caseload'!#REF!</f>
        <v>#REF!</v>
      </c>
    </row>
    <row r="10" spans="1:3" x14ac:dyDescent="0.25">
      <c r="A10" s="18">
        <v>39873</v>
      </c>
      <c r="B10" s="17" t="e">
        <f>#REF!</f>
        <v>#REF!</v>
      </c>
      <c r="C10" s="17" t="e">
        <f>'CBHP Caseload'!#REF!+'CBHP Caseload'!#REF!</f>
        <v>#REF!</v>
      </c>
    </row>
    <row r="11" spans="1:3" x14ac:dyDescent="0.25">
      <c r="A11" s="18">
        <v>39904</v>
      </c>
      <c r="B11" s="17" t="e">
        <f>#REF!</f>
        <v>#REF!</v>
      </c>
      <c r="C11" s="17" t="e">
        <f>'CBHP Caseload'!#REF!+'CBHP Caseload'!#REF!</f>
        <v>#REF!</v>
      </c>
    </row>
    <row r="12" spans="1:3" x14ac:dyDescent="0.25">
      <c r="A12" s="18">
        <v>39934</v>
      </c>
      <c r="B12" s="17" t="e">
        <f>#REF!</f>
        <v>#REF!</v>
      </c>
      <c r="C12" s="17" t="e">
        <f>'CBHP Caseload'!#REF!+'CBHP Caseload'!#REF!</f>
        <v>#REF!</v>
      </c>
    </row>
    <row r="13" spans="1:3" x14ac:dyDescent="0.25">
      <c r="A13" s="18">
        <v>39965</v>
      </c>
      <c r="B13" s="17" t="e">
        <f>#REF!</f>
        <v>#REF!</v>
      </c>
      <c r="C13" s="17" t="e">
        <f>'CBHP Caseload'!#REF!+'CBHP Caseload'!#REF!</f>
        <v>#REF!</v>
      </c>
    </row>
    <row r="14" spans="1:3" x14ac:dyDescent="0.25">
      <c r="A14" s="18">
        <v>39995</v>
      </c>
      <c r="B14" s="17" t="e">
        <f>#REF!</f>
        <v>#REF!</v>
      </c>
      <c r="C14" s="17">
        <f>'CBHP Caseload'!F16+'CBHP Caseload'!J16</f>
        <v>4458</v>
      </c>
    </row>
    <row r="15" spans="1:3" x14ac:dyDescent="0.25">
      <c r="A15" s="18">
        <v>40026</v>
      </c>
      <c r="B15" s="17" t="e">
        <f>#REF!</f>
        <v>#REF!</v>
      </c>
      <c r="C15" s="17">
        <f>'CBHP Caseload'!F17+'CBHP Caseload'!J17</f>
        <v>71057</v>
      </c>
    </row>
    <row r="16" spans="1:3" x14ac:dyDescent="0.25">
      <c r="A16" s="18">
        <v>40057</v>
      </c>
      <c r="B16" s="17" t="e">
        <f>#REF!</f>
        <v>#REF!</v>
      </c>
      <c r="C16" s="17">
        <f>'CBHP Caseload'!F18+'CBHP Caseload'!J18</f>
        <v>69973</v>
      </c>
    </row>
    <row r="17" spans="1:3" x14ac:dyDescent="0.25">
      <c r="A17" s="18">
        <v>40087</v>
      </c>
      <c r="B17" s="17" t="e">
        <f>#REF!</f>
        <v>#REF!</v>
      </c>
      <c r="C17" s="17">
        <f>'CBHP Caseload'!F19+'CBHP Caseload'!J19</f>
        <v>68488</v>
      </c>
    </row>
    <row r="18" spans="1:3" x14ac:dyDescent="0.25">
      <c r="A18" s="18">
        <v>40118</v>
      </c>
      <c r="B18" s="17" t="e">
        <f>#REF!</f>
        <v>#REF!</v>
      </c>
      <c r="C18" s="17">
        <f>'CBHP Caseload'!F20+'CBHP Caseload'!J20</f>
        <v>68047</v>
      </c>
    </row>
    <row r="19" spans="1:3" x14ac:dyDescent="0.25">
      <c r="A19" s="18">
        <v>40148</v>
      </c>
      <c r="B19" s="17" t="e">
        <f>#REF!</f>
        <v>#REF!</v>
      </c>
      <c r="C19" s="17">
        <f>'CBHP Caseload'!F21+'CBHP Caseload'!J21</f>
        <v>68278</v>
      </c>
    </row>
    <row r="20" spans="1:3" x14ac:dyDescent="0.25">
      <c r="A20" s="18">
        <v>40179</v>
      </c>
      <c r="B20" s="17" t="e">
        <f>#REF!</f>
        <v>#REF!</v>
      </c>
      <c r="C20" s="17">
        <f>'CBHP Caseload'!F22+'CBHP Caseload'!J22</f>
        <v>69221</v>
      </c>
    </row>
    <row r="21" spans="1:3" x14ac:dyDescent="0.25">
      <c r="A21" s="18">
        <v>40210</v>
      </c>
      <c r="B21" s="17" t="e">
        <f>#REF!</f>
        <v>#REF!</v>
      </c>
      <c r="C21" s="17">
        <f>'CBHP Caseload'!F23+'CBHP Caseload'!J23</f>
        <v>69655</v>
      </c>
    </row>
  </sheetData>
  <phoneticPr fontId="19"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71"/>
  <sheetViews>
    <sheetView view="pageBreakPreview" zoomScaleNormal="100" zoomScaleSheetLayoutView="100" workbookViewId="0">
      <selection activeCell="B20" sqref="B20"/>
    </sheetView>
  </sheetViews>
  <sheetFormatPr defaultColWidth="9.140625" defaultRowHeight="15.75" x14ac:dyDescent="0.25"/>
  <cols>
    <col min="1" max="1" width="7.7109375" style="1" customWidth="1"/>
    <col min="2" max="2" width="89" style="1" customWidth="1"/>
    <col min="3" max="3" width="21.42578125" style="15" bestFit="1" customWidth="1"/>
    <col min="4" max="4" width="22.42578125" style="15" customWidth="1"/>
    <col min="5" max="5" width="19.140625" style="15" bestFit="1" customWidth="1"/>
    <col min="6" max="6" width="15.140625" style="15" bestFit="1" customWidth="1"/>
    <col min="7" max="7" width="10.5703125" style="15" bestFit="1" customWidth="1"/>
    <col min="8" max="10" width="9.140625" style="15"/>
    <col min="11" max="11" width="14.28515625" style="15" bestFit="1" customWidth="1"/>
    <col min="12" max="12" width="9.140625" style="15"/>
    <col min="13" max="13" width="9.28515625" style="15" bestFit="1" customWidth="1"/>
    <col min="14" max="16384" width="9.140625" style="15"/>
  </cols>
  <sheetData>
    <row r="1" spans="1:7" x14ac:dyDescent="0.25">
      <c r="A1" s="650"/>
      <c r="B1" s="650"/>
    </row>
    <row r="2" spans="1:7" s="196" customFormat="1" ht="16.5" thickBot="1" x14ac:dyDescent="0.25">
      <c r="A2" s="195"/>
      <c r="B2" s="195"/>
      <c r="C2" s="195"/>
      <c r="D2" s="195"/>
      <c r="E2" s="195"/>
      <c r="F2" s="195"/>
      <c r="G2" s="195"/>
    </row>
    <row r="3" spans="1:7" s="196" customFormat="1" ht="16.5" thickBot="1" x14ac:dyDescent="0.25">
      <c r="B3" s="651" t="s">
        <v>314</v>
      </c>
      <c r="C3" s="652"/>
    </row>
    <row r="4" spans="1:7" s="196" customFormat="1" x14ac:dyDescent="0.2">
      <c r="B4" s="49" t="s">
        <v>315</v>
      </c>
      <c r="C4" s="38">
        <v>7597506218</v>
      </c>
      <c r="D4" s="195"/>
      <c r="E4" s="195"/>
    </row>
    <row r="5" spans="1:7" s="196" customFormat="1" x14ac:dyDescent="0.2">
      <c r="B5" s="45" t="s">
        <v>316</v>
      </c>
      <c r="C5" s="38">
        <v>2211530</v>
      </c>
      <c r="D5" s="195"/>
      <c r="E5" s="195"/>
    </row>
    <row r="6" spans="1:7" s="196" customFormat="1" x14ac:dyDescent="0.2">
      <c r="B6" s="45" t="s">
        <v>317</v>
      </c>
      <c r="C6" s="38">
        <v>-528200000</v>
      </c>
      <c r="D6" s="195"/>
      <c r="E6" s="195"/>
    </row>
    <row r="7" spans="1:7" s="196" customFormat="1" x14ac:dyDescent="0.2">
      <c r="B7" s="45" t="s">
        <v>318</v>
      </c>
      <c r="C7" s="38">
        <v>526381099</v>
      </c>
      <c r="D7" s="195"/>
      <c r="E7" s="195"/>
    </row>
    <row r="8" spans="1:7" s="196" customFormat="1" x14ac:dyDescent="0.2">
      <c r="B8" s="45" t="s">
        <v>319</v>
      </c>
      <c r="C8" s="38">
        <v>0</v>
      </c>
      <c r="D8" s="195"/>
      <c r="E8" s="195"/>
    </row>
    <row r="9" spans="1:7" s="196" customFormat="1" hidden="1" x14ac:dyDescent="0.2">
      <c r="B9" s="45"/>
      <c r="C9" s="38"/>
      <c r="D9" s="195"/>
      <c r="E9" s="195"/>
    </row>
    <row r="10" spans="1:7" s="196" customFormat="1" hidden="1" x14ac:dyDescent="0.2">
      <c r="B10" s="45"/>
      <c r="C10" s="38"/>
      <c r="D10" s="195"/>
      <c r="E10" s="195"/>
    </row>
    <row r="11" spans="1:7" s="196" customFormat="1" x14ac:dyDescent="0.2">
      <c r="B11" s="50" t="s">
        <v>320</v>
      </c>
      <c r="C11" s="323">
        <f>SUM(C4:C10)</f>
        <v>7597898847</v>
      </c>
      <c r="D11" s="197"/>
      <c r="E11" s="322"/>
      <c r="F11" s="197"/>
    </row>
    <row r="12" spans="1:7" s="196" customFormat="1" ht="16.5" thickBot="1" x14ac:dyDescent="0.25">
      <c r="B12" s="63" t="s">
        <v>321</v>
      </c>
      <c r="C12" s="67">
        <f>'Premiums Expend'!O59</f>
        <v>3694121326</v>
      </c>
      <c r="D12" s="197"/>
      <c r="E12" s="197"/>
      <c r="F12" s="197"/>
    </row>
    <row r="13" spans="1:7" s="196" customFormat="1" ht="17.25" thickTop="1" thickBot="1" x14ac:dyDescent="0.25">
      <c r="B13" s="393" t="s">
        <v>322</v>
      </c>
      <c r="C13" s="39">
        <f>C11-C12</f>
        <v>3903777521</v>
      </c>
      <c r="D13" s="197"/>
    </row>
    <row r="14" spans="1:7" x14ac:dyDescent="0.25">
      <c r="A14" s="12"/>
      <c r="B14" s="43"/>
      <c r="C14" s="369"/>
    </row>
    <row r="15" spans="1:7" x14ac:dyDescent="0.25">
      <c r="A15" s="12"/>
      <c r="B15" s="44"/>
      <c r="C15" s="44"/>
    </row>
    <row r="16" spans="1:7" x14ac:dyDescent="0.25">
      <c r="A16" s="12"/>
      <c r="B16" s="11"/>
    </row>
    <row r="17" spans="1:4" x14ac:dyDescent="0.25">
      <c r="A17" s="12"/>
      <c r="B17" s="11"/>
    </row>
    <row r="18" spans="1:4" x14ac:dyDescent="0.25">
      <c r="A18" s="12"/>
      <c r="B18" s="11"/>
    </row>
    <row r="19" spans="1:4" x14ac:dyDescent="0.25">
      <c r="A19" s="12"/>
      <c r="B19" s="855"/>
      <c r="C19" s="213"/>
    </row>
    <row r="20" spans="1:4" x14ac:dyDescent="0.25">
      <c r="A20" s="12"/>
      <c r="B20" s="15"/>
    </row>
    <row r="21" spans="1:4" x14ac:dyDescent="0.25">
      <c r="A21" s="12"/>
      <c r="B21" s="15"/>
    </row>
    <row r="22" spans="1:4" x14ac:dyDescent="0.25">
      <c r="A22" s="12"/>
      <c r="B22" s="15"/>
    </row>
    <row r="23" spans="1:4" x14ac:dyDescent="0.25">
      <c r="A23" s="12"/>
      <c r="B23" s="15"/>
    </row>
    <row r="24" spans="1:4" x14ac:dyDescent="0.25">
      <c r="A24" s="12"/>
      <c r="B24" s="15"/>
    </row>
    <row r="25" spans="1:4" x14ac:dyDescent="0.25">
      <c r="A25" s="12"/>
      <c r="B25" s="15"/>
    </row>
    <row r="26" spans="1:4" x14ac:dyDescent="0.25">
      <c r="A26" s="12"/>
      <c r="B26" s="15"/>
    </row>
    <row r="27" spans="1:4" x14ac:dyDescent="0.25">
      <c r="A27" s="12"/>
      <c r="B27" s="15"/>
    </row>
    <row r="28" spans="1:4" x14ac:dyDescent="0.25">
      <c r="A28" s="12"/>
      <c r="B28" s="15"/>
    </row>
    <row r="29" spans="1:4" x14ac:dyDescent="0.25">
      <c r="A29" s="12"/>
      <c r="B29" s="15"/>
      <c r="C29" s="484"/>
    </row>
    <row r="30" spans="1:4" x14ac:dyDescent="0.25">
      <c r="A30" s="12"/>
      <c r="B30" s="15"/>
      <c r="C30" s="13"/>
      <c r="D30" s="13"/>
    </row>
    <row r="31" spans="1:4" x14ac:dyDescent="0.25">
      <c r="A31" s="12"/>
      <c r="B31" s="11"/>
      <c r="C31" s="13"/>
    </row>
    <row r="32" spans="1:4" x14ac:dyDescent="0.25">
      <c r="A32" s="12"/>
      <c r="B32" s="11"/>
      <c r="C32" s="13"/>
    </row>
    <row r="33" spans="1:6" x14ac:dyDescent="0.25">
      <c r="A33" s="12"/>
      <c r="B33" s="856"/>
      <c r="C33" s="353"/>
    </row>
    <row r="34" spans="1:6" x14ac:dyDescent="0.25">
      <c r="A34" s="12"/>
      <c r="B34" s="11"/>
    </row>
    <row r="35" spans="1:6" x14ac:dyDescent="0.25">
      <c r="A35" s="12"/>
      <c r="B35" s="11"/>
    </row>
    <row r="36" spans="1:6" x14ac:dyDescent="0.25">
      <c r="A36" s="14"/>
      <c r="B36" s="11"/>
    </row>
    <row r="37" spans="1:6" x14ac:dyDescent="0.25">
      <c r="A37" s="14"/>
      <c r="B37" s="169"/>
      <c r="C37" s="169"/>
      <c r="D37" s="484"/>
    </row>
    <row r="38" spans="1:6" x14ac:dyDescent="0.25">
      <c r="A38" s="12"/>
      <c r="B38" s="169"/>
      <c r="C38" s="169"/>
      <c r="D38" s="484"/>
    </row>
    <row r="39" spans="1:6" x14ac:dyDescent="0.25">
      <c r="A39" s="12"/>
      <c r="B39" s="169"/>
      <c r="C39" s="169"/>
      <c r="D39" s="484"/>
    </row>
    <row r="40" spans="1:6" x14ac:dyDescent="0.25">
      <c r="A40" s="12"/>
      <c r="B40" s="169"/>
      <c r="C40" s="169"/>
      <c r="D40" s="484"/>
    </row>
    <row r="41" spans="1:6" x14ac:dyDescent="0.25">
      <c r="A41" s="12"/>
      <c r="B41" s="169"/>
      <c r="C41" s="169"/>
      <c r="D41" s="373"/>
    </row>
    <row r="42" spans="1:6" x14ac:dyDescent="0.25">
      <c r="A42" s="12"/>
      <c r="B42" s="169"/>
      <c r="C42" s="169"/>
      <c r="D42" s="373"/>
    </row>
    <row r="43" spans="1:6" x14ac:dyDescent="0.25">
      <c r="B43" s="169"/>
      <c r="C43" s="169"/>
      <c r="D43" s="373"/>
      <c r="F43" s="10"/>
    </row>
    <row r="44" spans="1:6" x14ac:dyDescent="0.25">
      <c r="B44" s="169"/>
      <c r="C44" s="169"/>
      <c r="D44" s="373"/>
    </row>
    <row r="45" spans="1:6" x14ac:dyDescent="0.25">
      <c r="B45" s="169"/>
      <c r="C45" s="169"/>
      <c r="D45" s="373"/>
    </row>
    <row r="46" spans="1:6" x14ac:dyDescent="0.25">
      <c r="B46" s="169"/>
      <c r="C46" s="169"/>
      <c r="D46" s="169"/>
    </row>
    <row r="47" spans="1:6" x14ac:dyDescent="0.25">
      <c r="B47" s="7"/>
    </row>
    <row r="48" spans="1:6" x14ac:dyDescent="0.25">
      <c r="B48" s="7"/>
    </row>
    <row r="49" spans="2:6" x14ac:dyDescent="0.25">
      <c r="B49" s="7"/>
      <c r="D49" s="491"/>
    </row>
    <row r="50" spans="2:6" x14ac:dyDescent="0.25">
      <c r="D50" s="491"/>
    </row>
    <row r="51" spans="2:6" x14ac:dyDescent="0.25">
      <c r="D51" s="491"/>
    </row>
    <row r="52" spans="2:6" x14ac:dyDescent="0.25">
      <c r="D52" s="491"/>
    </row>
    <row r="53" spans="2:6" x14ac:dyDescent="0.25">
      <c r="D53" s="491"/>
      <c r="F53" s="491"/>
    </row>
    <row r="54" spans="2:6" x14ac:dyDescent="0.25">
      <c r="D54" s="491"/>
    </row>
    <row r="55" spans="2:6" x14ac:dyDescent="0.25">
      <c r="D55" s="491"/>
      <c r="F55" s="534"/>
    </row>
    <row r="56" spans="2:6" x14ac:dyDescent="0.25">
      <c r="D56" s="491"/>
    </row>
    <row r="57" spans="2:6" x14ac:dyDescent="0.25">
      <c r="D57" s="491"/>
    </row>
    <row r="58" spans="2:6" x14ac:dyDescent="0.25">
      <c r="D58" s="491"/>
    </row>
    <row r="59" spans="2:6" x14ac:dyDescent="0.25">
      <c r="D59" s="491"/>
    </row>
    <row r="60" spans="2:6" x14ac:dyDescent="0.25">
      <c r="D60" s="491"/>
    </row>
    <row r="61" spans="2:6" ht="37.5" customHeight="1" x14ac:dyDescent="0.25">
      <c r="D61" s="491"/>
    </row>
    <row r="62" spans="2:6" x14ac:dyDescent="0.25">
      <c r="D62" s="491"/>
    </row>
    <row r="63" spans="2:6" x14ac:dyDescent="0.25">
      <c r="D63" s="491"/>
    </row>
    <row r="65" spans="4:4" x14ac:dyDescent="0.25">
      <c r="D65" s="491"/>
    </row>
    <row r="66" spans="4:4" x14ac:dyDescent="0.25">
      <c r="D66" s="491"/>
    </row>
    <row r="67" spans="4:4" x14ac:dyDescent="0.25">
      <c r="D67" s="491"/>
    </row>
    <row r="69" spans="4:4" x14ac:dyDescent="0.25">
      <c r="D69" s="491"/>
    </row>
    <row r="70" spans="4:4" x14ac:dyDescent="0.25">
      <c r="D70" s="491"/>
    </row>
    <row r="71" spans="4:4" x14ac:dyDescent="0.25">
      <c r="D71" s="491"/>
    </row>
  </sheetData>
  <mergeCells count="2">
    <mergeCell ref="A1:B1"/>
    <mergeCell ref="B3:C3"/>
  </mergeCells>
  <phoneticPr fontId="19" type="noConversion"/>
  <printOptions horizontalCentered="1" gridLines="1"/>
  <pageMargins left="0.28999999999999998" right="0.28999999999999998" top="0.7" bottom="0.43" header="0.3" footer="0.27"/>
  <pageSetup scale="105" firstPageNumber="2"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60"/>
  <sheetViews>
    <sheetView view="pageBreakPreview" zoomScale="90" zoomScaleNormal="100" zoomScaleSheetLayoutView="90" workbookViewId="0">
      <selection activeCell="I68" sqref="I68"/>
    </sheetView>
  </sheetViews>
  <sheetFormatPr defaultColWidth="9.140625" defaultRowHeight="15.75" x14ac:dyDescent="0.2"/>
  <cols>
    <col min="1" max="1" width="12.140625" style="286" customWidth="1"/>
    <col min="2" max="2" width="36.42578125" style="286" bestFit="1" customWidth="1"/>
    <col min="3" max="4" width="15.28515625" style="286" bestFit="1" customWidth="1"/>
    <col min="5" max="5" width="17.42578125" style="286" customWidth="1"/>
    <col min="6" max="6" width="15.140625" style="286" customWidth="1"/>
    <col min="7" max="7" width="17.5703125" style="286" bestFit="1" customWidth="1"/>
    <col min="8" max="8" width="17.28515625" style="286" customWidth="1"/>
    <col min="9" max="9" width="14.85546875" style="286" customWidth="1"/>
    <col min="10" max="14" width="16.140625" style="286" customWidth="1"/>
    <col min="15" max="15" width="15.85546875" style="286" customWidth="1"/>
    <col min="16" max="16" width="11.140625" style="286" bestFit="1" customWidth="1"/>
    <col min="17" max="18" width="5.5703125" style="286" bestFit="1" customWidth="1"/>
    <col min="19" max="19" width="30" style="286" bestFit="1" customWidth="1"/>
    <col min="20" max="24" width="5.5703125" style="286" bestFit="1" customWidth="1"/>
    <col min="25" max="16384" width="9.140625" style="286"/>
  </cols>
  <sheetData>
    <row r="1" spans="1:17" ht="16.5" thickBot="1" x14ac:dyDescent="0.25">
      <c r="C1" s="286" t="s">
        <v>173</v>
      </c>
      <c r="D1" s="286" t="s">
        <v>173</v>
      </c>
      <c r="E1" s="286" t="s">
        <v>173</v>
      </c>
      <c r="F1" s="286" t="s">
        <v>173</v>
      </c>
      <c r="G1" s="286" t="s">
        <v>173</v>
      </c>
      <c r="H1" s="286" t="s">
        <v>173</v>
      </c>
      <c r="I1" s="286" t="s">
        <v>173</v>
      </c>
      <c r="J1" s="286" t="s">
        <v>173</v>
      </c>
      <c r="K1" s="286" t="s">
        <v>173</v>
      </c>
      <c r="L1" s="286" t="s">
        <v>173</v>
      </c>
      <c r="M1" s="286" t="s">
        <v>173</v>
      </c>
      <c r="N1" s="286" t="s">
        <v>173</v>
      </c>
      <c r="O1" s="286" t="s">
        <v>173</v>
      </c>
    </row>
    <row r="2" spans="1:17" ht="16.5" thickBot="1" x14ac:dyDescent="0.25">
      <c r="A2" s="654" t="s">
        <v>323</v>
      </c>
      <c r="B2" s="655"/>
      <c r="C2" s="655"/>
      <c r="D2" s="655"/>
      <c r="E2" s="655"/>
      <c r="F2" s="655"/>
      <c r="G2" s="655"/>
      <c r="H2" s="655"/>
      <c r="I2" s="655"/>
      <c r="J2" s="655"/>
      <c r="K2" s="655"/>
      <c r="L2" s="655"/>
      <c r="M2" s="655"/>
      <c r="N2" s="655"/>
      <c r="O2" s="656"/>
    </row>
    <row r="3" spans="1:17" ht="31.5" customHeight="1" thickBot="1" x14ac:dyDescent="0.25">
      <c r="A3" s="287"/>
      <c r="B3" s="288" t="s">
        <v>49</v>
      </c>
      <c r="C3" s="375">
        <v>42917</v>
      </c>
      <c r="D3" s="376">
        <v>42948</v>
      </c>
      <c r="E3" s="376">
        <v>42979</v>
      </c>
      <c r="F3" s="376">
        <v>43009</v>
      </c>
      <c r="G3" s="376">
        <v>43040</v>
      </c>
      <c r="H3" s="376">
        <v>43070</v>
      </c>
      <c r="I3" s="376">
        <v>43101</v>
      </c>
      <c r="J3" s="376">
        <v>43132</v>
      </c>
      <c r="K3" s="376">
        <v>43160</v>
      </c>
      <c r="L3" s="376">
        <v>43191</v>
      </c>
      <c r="M3" s="376">
        <v>43221</v>
      </c>
      <c r="N3" s="376">
        <v>43252</v>
      </c>
      <c r="O3" s="289" t="s">
        <v>313</v>
      </c>
    </row>
    <row r="4" spans="1:17" ht="31.5" customHeight="1" x14ac:dyDescent="0.2">
      <c r="A4" s="657" t="s">
        <v>163</v>
      </c>
      <c r="B4" s="290" t="s">
        <v>170</v>
      </c>
      <c r="C4" s="631">
        <v>31834785.000000004</v>
      </c>
      <c r="D4" s="628">
        <v>58509199</v>
      </c>
      <c r="E4" s="293">
        <v>58396993.000000015</v>
      </c>
      <c r="F4" s="293">
        <v>33196506</v>
      </c>
      <c r="G4" s="293">
        <v>33310106</v>
      </c>
      <c r="H4" s="293">
        <v>37720792</v>
      </c>
      <c r="I4" s="293"/>
      <c r="J4" s="293"/>
      <c r="K4" s="293"/>
      <c r="L4" s="293"/>
      <c r="M4" s="293"/>
      <c r="N4" s="293"/>
      <c r="O4" s="294">
        <f>ROUND(SUM(C4:N4),0)</f>
        <v>252968381</v>
      </c>
    </row>
    <row r="5" spans="1:17" ht="31.5" customHeight="1" x14ac:dyDescent="0.2">
      <c r="A5" s="658"/>
      <c r="B5" s="290" t="s">
        <v>311</v>
      </c>
      <c r="C5" s="291">
        <v>0</v>
      </c>
      <c r="D5" s="628">
        <v>0</v>
      </c>
      <c r="E5" s="293">
        <v>0</v>
      </c>
      <c r="F5" s="293">
        <v>0</v>
      </c>
      <c r="G5" s="293">
        <v>0</v>
      </c>
      <c r="H5" s="293">
        <v>0</v>
      </c>
      <c r="I5" s="293"/>
      <c r="J5" s="293"/>
      <c r="K5" s="293"/>
      <c r="L5" s="293"/>
      <c r="M5" s="293"/>
      <c r="N5" s="292"/>
      <c r="O5" s="294">
        <f t="shared" ref="O5" si="0">ROUND(SUM(C5:N5),0)</f>
        <v>0</v>
      </c>
    </row>
    <row r="6" spans="1:17" ht="31.5" customHeight="1" x14ac:dyDescent="0.2">
      <c r="A6" s="658"/>
      <c r="B6" s="295" t="s">
        <v>171</v>
      </c>
      <c r="C6" s="296">
        <v>7064717.9999999981</v>
      </c>
      <c r="D6" s="629">
        <v>9513697</v>
      </c>
      <c r="E6" s="297">
        <v>9511013.0000000019</v>
      </c>
      <c r="F6" s="297">
        <v>7481474</v>
      </c>
      <c r="G6" s="297">
        <v>7472462</v>
      </c>
      <c r="H6" s="297">
        <v>8229880</v>
      </c>
      <c r="I6" s="297"/>
      <c r="J6" s="297"/>
      <c r="K6" s="297"/>
      <c r="L6" s="297"/>
      <c r="M6" s="297"/>
      <c r="N6" s="297"/>
      <c r="O6" s="298">
        <f>ROUND(SUM(C6:N6),0)</f>
        <v>49273244</v>
      </c>
    </row>
    <row r="7" spans="1:17" ht="31.5" customHeight="1" thickBot="1" x14ac:dyDescent="0.25">
      <c r="A7" s="658"/>
      <c r="B7" s="299" t="s">
        <v>172</v>
      </c>
      <c r="C7" s="300">
        <v>18169282</v>
      </c>
      <c r="D7" s="630">
        <v>68899759</v>
      </c>
      <c r="E7" s="302">
        <v>69058689.000000045</v>
      </c>
      <c r="F7" s="302">
        <v>24560536</v>
      </c>
      <c r="G7" s="302">
        <v>24550304</v>
      </c>
      <c r="H7" s="302">
        <v>26657578</v>
      </c>
      <c r="I7" s="302"/>
      <c r="J7" s="302"/>
      <c r="K7" s="302"/>
      <c r="L7" s="302"/>
      <c r="M7" s="302"/>
      <c r="N7" s="302"/>
      <c r="O7" s="303">
        <f>ROUND(SUM(C7:N7),0)</f>
        <v>231896148</v>
      </c>
    </row>
    <row r="8" spans="1:17" ht="31.5" customHeight="1" thickTop="1" thickBot="1" x14ac:dyDescent="0.25">
      <c r="A8" s="659"/>
      <c r="B8" s="304" t="s">
        <v>164</v>
      </c>
      <c r="C8" s="305">
        <f t="shared" ref="C8" si="1">SUM(C4:C7)</f>
        <v>57068785</v>
      </c>
      <c r="D8" s="305">
        <f t="shared" ref="D8" si="2">SUM(D4:D7)</f>
        <v>136922655</v>
      </c>
      <c r="E8" s="306">
        <f t="shared" ref="E8" si="3">SUM(E4:E7)</f>
        <v>136966695.00000006</v>
      </c>
      <c r="F8" s="306">
        <f t="shared" ref="F8" si="4">SUM(F4:F7)</f>
        <v>65238516</v>
      </c>
      <c r="G8" s="306">
        <f t="shared" ref="G8" si="5">SUM(G4:G7)</f>
        <v>65332872</v>
      </c>
      <c r="H8" s="306">
        <f t="shared" ref="H8" si="6">SUM(H4:H7)</f>
        <v>72608250</v>
      </c>
      <c r="I8" s="306">
        <f t="shared" ref="I8" si="7">SUM(I4:I7)</f>
        <v>0</v>
      </c>
      <c r="J8" s="305">
        <f>ROUND(SUM(J4:J7),0)</f>
        <v>0</v>
      </c>
      <c r="K8" s="305">
        <f>ROUND(SUM(K4:K7),0)</f>
        <v>0</v>
      </c>
      <c r="L8" s="305">
        <f>ROUNDDOWN(SUM(L4:L7),0)</f>
        <v>0</v>
      </c>
      <c r="M8" s="306">
        <f>ROUND(SUM(M4:M7),0)</f>
        <v>0</v>
      </c>
      <c r="N8" s="306">
        <f>ROUND(SUM(N4:N7),0)</f>
        <v>0</v>
      </c>
      <c r="O8" s="307">
        <f>SUM(O4:O7)</f>
        <v>534137773</v>
      </c>
    </row>
    <row r="9" spans="1:17" ht="31.5" customHeight="1" x14ac:dyDescent="0.2">
      <c r="A9" s="658" t="s">
        <v>165</v>
      </c>
      <c r="B9" s="308" t="s">
        <v>305</v>
      </c>
      <c r="C9" s="291">
        <v>16516757</v>
      </c>
      <c r="D9" s="292">
        <v>18807984.999999993</v>
      </c>
      <c r="E9" s="292">
        <v>18807975.999999996</v>
      </c>
      <c r="F9" s="292">
        <v>18807975.999999996</v>
      </c>
      <c r="G9" s="292">
        <v>14316753</v>
      </c>
      <c r="H9" s="292">
        <v>21588879</v>
      </c>
      <c r="I9" s="292"/>
      <c r="J9" s="292"/>
      <c r="K9" s="292"/>
      <c r="L9" s="292"/>
      <c r="M9" s="292"/>
      <c r="N9" s="292"/>
      <c r="O9" s="309">
        <f t="shared" ref="O9" si="8">ROUND(SUM(C9:N9),0)</f>
        <v>108846326</v>
      </c>
    </row>
    <row r="10" spans="1:17" ht="31.5" customHeight="1" thickBot="1" x14ac:dyDescent="0.3">
      <c r="A10" s="658"/>
      <c r="B10" s="310" t="s">
        <v>290</v>
      </c>
      <c r="C10" s="300">
        <v>9623347.0000000019</v>
      </c>
      <c r="D10" s="301">
        <v>9788844.9999999981</v>
      </c>
      <c r="E10" s="301">
        <v>9788853.0000000019</v>
      </c>
      <c r="F10" s="301">
        <v>9788853.0000000019</v>
      </c>
      <c r="G10" s="301">
        <v>9623348</v>
      </c>
      <c r="H10" s="301">
        <v>11186370</v>
      </c>
      <c r="I10" s="301"/>
      <c r="J10" s="301"/>
      <c r="K10" s="301"/>
      <c r="L10" s="301"/>
      <c r="M10" s="301"/>
      <c r="N10" s="301"/>
      <c r="O10" s="311">
        <f>ROUND(SUM(C10:N10),0)</f>
        <v>59799616</v>
      </c>
      <c r="Q10" s="312"/>
    </row>
    <row r="11" spans="1:17" ht="31.5" customHeight="1" thickTop="1" thickBot="1" x14ac:dyDescent="0.25">
      <c r="A11" s="658"/>
      <c r="B11" s="313" t="s">
        <v>166</v>
      </c>
      <c r="C11" s="314">
        <f t="shared" ref="C11:H11" si="9">SUM(C9:C10)</f>
        <v>26140104</v>
      </c>
      <c r="D11" s="315">
        <f t="shared" si="9"/>
        <v>28596829.999999993</v>
      </c>
      <c r="E11" s="315">
        <f t="shared" si="9"/>
        <v>28596829</v>
      </c>
      <c r="F11" s="315">
        <f t="shared" ref="F11" si="10">SUM(F9:F10)</f>
        <v>28596829</v>
      </c>
      <c r="G11" s="315">
        <f>SUM(G9:G10)</f>
        <v>23940101</v>
      </c>
      <c r="H11" s="315">
        <f t="shared" si="9"/>
        <v>32775249</v>
      </c>
      <c r="I11" s="315">
        <f t="shared" ref="I11" si="11">SUM(I9:I10)</f>
        <v>0</v>
      </c>
      <c r="J11" s="315">
        <f t="shared" ref="J11:K11" si="12">SUM(J9:J10)</f>
        <v>0</v>
      </c>
      <c r="K11" s="315">
        <f t="shared" si="12"/>
        <v>0</v>
      </c>
      <c r="L11" s="315">
        <f>SUM(L9:L10)</f>
        <v>0</v>
      </c>
      <c r="M11" s="315">
        <f>SUM(M9:M10)</f>
        <v>0</v>
      </c>
      <c r="N11" s="315">
        <f t="shared" ref="N11" si="13">SUM(N9:N10)</f>
        <v>0</v>
      </c>
      <c r="O11" s="316">
        <f>ROUND(SUM(C11:N11),0)</f>
        <v>168645942</v>
      </c>
    </row>
    <row r="12" spans="1:17" ht="31.5" customHeight="1" thickBot="1" x14ac:dyDescent="0.25">
      <c r="A12" s="660" t="s">
        <v>167</v>
      </c>
      <c r="B12" s="661"/>
      <c r="C12" s="317">
        <f t="shared" ref="C12:H12" si="14">C11+C8</f>
        <v>83208889</v>
      </c>
      <c r="D12" s="318">
        <f t="shared" si="14"/>
        <v>165519485</v>
      </c>
      <c r="E12" s="318">
        <f t="shared" si="14"/>
        <v>165563524.00000006</v>
      </c>
      <c r="F12" s="318">
        <f t="shared" ref="F12" si="15">F11+F8</f>
        <v>93835345</v>
      </c>
      <c r="G12" s="318">
        <f>G11+G8</f>
        <v>89272973</v>
      </c>
      <c r="H12" s="318">
        <f t="shared" si="14"/>
        <v>105383499</v>
      </c>
      <c r="I12" s="318">
        <f t="shared" ref="I12" si="16">I11+I8</f>
        <v>0</v>
      </c>
      <c r="J12" s="319">
        <f>J11+J8</f>
        <v>0</v>
      </c>
      <c r="K12" s="319">
        <f>K11+K8</f>
        <v>0</v>
      </c>
      <c r="L12" s="319">
        <f>L11+L8</f>
        <v>0</v>
      </c>
      <c r="M12" s="318">
        <f>M11+M8</f>
        <v>0</v>
      </c>
      <c r="N12" s="318">
        <f>N11+N8</f>
        <v>0</v>
      </c>
      <c r="O12" s="320">
        <f>ROUND(SUM(C12:N12),0)</f>
        <v>702783715</v>
      </c>
    </row>
    <row r="13" spans="1:17" x14ac:dyDescent="0.2">
      <c r="A13" s="662"/>
      <c r="B13" s="663"/>
      <c r="C13" s="663"/>
      <c r="D13" s="663"/>
      <c r="E13" s="663"/>
      <c r="F13" s="663"/>
      <c r="G13" s="663"/>
      <c r="H13" s="663"/>
      <c r="I13" s="663"/>
      <c r="J13" s="663"/>
      <c r="K13" s="663"/>
      <c r="L13" s="663"/>
      <c r="M13" s="663"/>
      <c r="N13" s="663"/>
      <c r="O13" s="663"/>
      <c r="P13" s="860"/>
    </row>
    <row r="14" spans="1:17" x14ac:dyDescent="0.2">
      <c r="A14" s="857"/>
      <c r="B14" s="858"/>
      <c r="C14" s="858"/>
      <c r="D14" s="858"/>
      <c r="E14" s="858"/>
      <c r="F14" s="858"/>
      <c r="G14" s="858"/>
      <c r="H14" s="858"/>
      <c r="I14" s="858"/>
      <c r="J14" s="858"/>
      <c r="K14" s="858"/>
      <c r="L14" s="858"/>
      <c r="M14" s="858"/>
      <c r="N14" s="858"/>
      <c r="O14" s="858"/>
      <c r="P14" s="859"/>
    </row>
    <row r="15" spans="1:17" x14ac:dyDescent="0.2">
      <c r="F15" s="574"/>
      <c r="G15" s="321"/>
      <c r="H15" s="321"/>
      <c r="I15" s="321"/>
      <c r="J15" s="321"/>
      <c r="K15" s="321"/>
      <c r="L15" s="321"/>
      <c r="M15" s="321"/>
      <c r="N15" s="321"/>
    </row>
    <row r="16" spans="1:17" x14ac:dyDescent="0.2">
      <c r="F16" s="653"/>
      <c r="G16" s="653"/>
      <c r="L16" s="580"/>
      <c r="N16" s="580"/>
    </row>
    <row r="17" spans="6:9" x14ac:dyDescent="0.2">
      <c r="F17" s="653"/>
      <c r="G17" s="653"/>
    </row>
    <row r="18" spans="6:9" x14ac:dyDescent="0.2">
      <c r="F18" s="653"/>
      <c r="G18" s="653"/>
    </row>
    <row r="19" spans="6:9" x14ac:dyDescent="0.2">
      <c r="F19" s="653"/>
      <c r="G19" s="653"/>
    </row>
    <row r="20" spans="6:9" x14ac:dyDescent="0.2">
      <c r="F20" s="653"/>
      <c r="G20" s="653"/>
    </row>
    <row r="21" spans="6:9" x14ac:dyDescent="0.2">
      <c r="F21" s="653"/>
      <c r="G21" s="653"/>
    </row>
    <row r="22" spans="6:9" x14ac:dyDescent="0.2">
      <c r="F22" s="653"/>
      <c r="G22" s="653"/>
    </row>
    <row r="23" spans="6:9" x14ac:dyDescent="0.2">
      <c r="F23" s="653"/>
      <c r="G23" s="653"/>
    </row>
    <row r="24" spans="6:9" x14ac:dyDescent="0.2">
      <c r="F24" s="653"/>
      <c r="G24" s="653"/>
    </row>
    <row r="25" spans="6:9" x14ac:dyDescent="0.2">
      <c r="F25" s="653"/>
      <c r="G25" s="653"/>
    </row>
    <row r="26" spans="6:9" x14ac:dyDescent="0.2">
      <c r="F26" s="653"/>
      <c r="G26" s="653"/>
    </row>
    <row r="27" spans="6:9" x14ac:dyDescent="0.2">
      <c r="F27" s="321"/>
      <c r="I27" s="575"/>
    </row>
    <row r="60" ht="37.5" customHeight="1" x14ac:dyDescent="0.2"/>
  </sheetData>
  <mergeCells count="7">
    <mergeCell ref="F16:G26"/>
    <mergeCell ref="A14:O14"/>
    <mergeCell ref="A2:O2"/>
    <mergeCell ref="A4:A8"/>
    <mergeCell ref="A9:A11"/>
    <mergeCell ref="A12:B12"/>
    <mergeCell ref="A13:O13"/>
  </mergeCells>
  <printOptions horizontalCentered="1" gridLines="1"/>
  <pageMargins left="0.28999999999999998" right="0.28999999999999998" top="0.7" bottom="0.43" header="0.3" footer="0.27"/>
  <pageSetup scale="52"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S175"/>
  <sheetViews>
    <sheetView view="pageBreakPreview" zoomScale="80" zoomScaleNormal="100" zoomScaleSheetLayoutView="80" workbookViewId="0">
      <selection activeCell="I68" sqref="I68"/>
    </sheetView>
  </sheetViews>
  <sheetFormatPr defaultColWidth="9.140625" defaultRowHeight="15.75" x14ac:dyDescent="0.2"/>
  <cols>
    <col min="1" max="1" width="9.140625" style="467"/>
    <col min="2" max="2" width="41.7109375" style="467" customWidth="1"/>
    <col min="3" max="3" width="14.140625" style="467" bestFit="1" customWidth="1"/>
    <col min="4" max="4" width="10.7109375" style="467" customWidth="1"/>
    <col min="5" max="5" width="12.42578125" style="467" customWidth="1"/>
    <col min="6" max="6" width="12.7109375" style="467" customWidth="1"/>
    <col min="7" max="8" width="15.140625" style="467" customWidth="1"/>
    <col min="9" max="9" width="10.5703125" style="467" customWidth="1"/>
    <col min="10" max="10" width="17.28515625" style="467" customWidth="1"/>
    <col min="11" max="11" width="11.7109375" style="467" customWidth="1"/>
    <col min="12" max="12" width="16" style="467" customWidth="1"/>
    <col min="13" max="13" width="10.7109375" style="467" bestFit="1" customWidth="1"/>
    <col min="14" max="15" width="10.5703125" style="467" customWidth="1"/>
    <col min="16" max="16" width="11.7109375" style="467" customWidth="1"/>
    <col min="17" max="17" width="10.28515625" style="467" customWidth="1"/>
    <col min="18" max="21" width="12.28515625" style="467" customWidth="1"/>
    <col min="22" max="22" width="9.42578125" style="467" bestFit="1" customWidth="1"/>
    <col min="23" max="23" width="9.85546875" style="467" bestFit="1" customWidth="1"/>
    <col min="24" max="24" width="20.140625" style="467" bestFit="1" customWidth="1"/>
    <col min="25" max="25" width="9.85546875" style="467" bestFit="1" customWidth="1"/>
    <col min="26" max="26" width="9.7109375" style="467" bestFit="1" customWidth="1"/>
    <col min="27" max="27" width="21.85546875" style="467" bestFit="1" customWidth="1"/>
    <col min="28" max="28" width="28.140625" style="467" bestFit="1" customWidth="1"/>
    <col min="29" max="29" width="33.7109375" style="467" bestFit="1" customWidth="1"/>
    <col min="30" max="30" width="9.7109375" style="467" bestFit="1" customWidth="1"/>
    <col min="31" max="31" width="10" style="467" bestFit="1" customWidth="1"/>
    <col min="32" max="32" width="17.42578125" style="467" bestFit="1" customWidth="1"/>
    <col min="33" max="33" width="9.5703125" style="467" bestFit="1" customWidth="1"/>
    <col min="34" max="34" width="10" style="467" bestFit="1" customWidth="1"/>
    <col min="35" max="35" width="9.42578125" style="467" bestFit="1" customWidth="1"/>
    <col min="36" max="36" width="10" style="467" bestFit="1" customWidth="1"/>
    <col min="37" max="38" width="9.42578125" style="467" bestFit="1" customWidth="1"/>
    <col min="39" max="39" width="10.85546875" style="467" customWidth="1"/>
    <col min="40" max="40" width="9.42578125" style="467" bestFit="1" customWidth="1"/>
    <col min="41" max="16384" width="9.140625" style="467"/>
  </cols>
  <sheetData>
    <row r="1" spans="2:40" ht="22.5" customHeight="1" x14ac:dyDescent="0.2">
      <c r="B1" s="666" t="s">
        <v>154</v>
      </c>
      <c r="C1" s="667"/>
      <c r="D1" s="667"/>
      <c r="E1" s="667"/>
      <c r="F1" s="667"/>
      <c r="G1" s="667"/>
      <c r="H1" s="667"/>
      <c r="I1" s="667"/>
      <c r="J1" s="667"/>
      <c r="K1" s="667"/>
      <c r="L1" s="667"/>
      <c r="M1" s="667"/>
      <c r="N1" s="667"/>
      <c r="O1" s="667"/>
      <c r="P1" s="667"/>
      <c r="Q1" s="667"/>
      <c r="R1" s="668"/>
      <c r="S1" s="466"/>
      <c r="T1" s="466"/>
      <c r="U1" s="466"/>
    </row>
    <row r="2" spans="2:40" s="183" customFormat="1" ht="62.25" customHeight="1" x14ac:dyDescent="0.2">
      <c r="B2" s="224"/>
      <c r="C2" s="71" t="s">
        <v>131</v>
      </c>
      <c r="D2" s="71" t="s">
        <v>132</v>
      </c>
      <c r="E2" s="71" t="s">
        <v>133</v>
      </c>
      <c r="F2" s="71" t="s">
        <v>104</v>
      </c>
      <c r="G2" s="71" t="s">
        <v>134</v>
      </c>
      <c r="H2" s="71" t="s">
        <v>135</v>
      </c>
      <c r="I2" s="71" t="s">
        <v>136</v>
      </c>
      <c r="J2" s="71" t="s">
        <v>19</v>
      </c>
      <c r="K2" s="71" t="s">
        <v>141</v>
      </c>
      <c r="L2" s="71" t="s">
        <v>137</v>
      </c>
      <c r="M2" s="71" t="s">
        <v>20</v>
      </c>
      <c r="N2" s="71" t="s">
        <v>138</v>
      </c>
      <c r="O2" s="71" t="s">
        <v>139</v>
      </c>
      <c r="P2" s="71" t="s">
        <v>140</v>
      </c>
      <c r="Q2" s="71" t="s">
        <v>32</v>
      </c>
      <c r="R2" s="225" t="s">
        <v>0</v>
      </c>
      <c r="S2" s="60"/>
      <c r="T2" s="60"/>
      <c r="U2" s="60"/>
    </row>
    <row r="3" spans="2:40" s="183" customFormat="1" hidden="1" x14ac:dyDescent="0.2">
      <c r="B3" s="226">
        <v>39995</v>
      </c>
      <c r="C3" s="3">
        <v>38058</v>
      </c>
      <c r="D3" s="3">
        <v>6774</v>
      </c>
      <c r="E3" s="3">
        <v>52315</v>
      </c>
      <c r="F3" s="3"/>
      <c r="G3" s="68">
        <v>70356</v>
      </c>
      <c r="H3" s="3">
        <v>0</v>
      </c>
      <c r="I3" s="3"/>
      <c r="J3" s="3">
        <v>393</v>
      </c>
      <c r="K3" s="3">
        <v>259609</v>
      </c>
      <c r="L3" s="3"/>
      <c r="M3" s="3">
        <v>18285</v>
      </c>
      <c r="N3" s="3">
        <v>7745</v>
      </c>
      <c r="O3" s="3"/>
      <c r="P3" s="3">
        <v>3930</v>
      </c>
      <c r="Q3" s="3">
        <v>15434</v>
      </c>
      <c r="R3" s="227">
        <f t="shared" ref="R3:R13" si="0">SUM(C3:Q3)</f>
        <v>472899</v>
      </c>
      <c r="S3" s="61"/>
      <c r="T3" s="61"/>
      <c r="U3" s="61"/>
      <c r="V3" s="184"/>
      <c r="W3" s="184"/>
      <c r="X3" s="184"/>
      <c r="Y3" s="184"/>
      <c r="Z3" s="184"/>
      <c r="AA3" s="184"/>
      <c r="AB3" s="184"/>
      <c r="AC3" s="184"/>
      <c r="AD3" s="184"/>
      <c r="AE3" s="184"/>
      <c r="AF3" s="184"/>
      <c r="AG3" s="184"/>
      <c r="AH3" s="184"/>
      <c r="AM3" s="184"/>
    </row>
    <row r="4" spans="2:40" s="183" customFormat="1" hidden="1" x14ac:dyDescent="0.2">
      <c r="B4" s="226">
        <v>40026</v>
      </c>
      <c r="C4" s="3">
        <v>38306</v>
      </c>
      <c r="D4" s="3">
        <v>6863</v>
      </c>
      <c r="E4" s="3">
        <v>52573</v>
      </c>
      <c r="F4" s="3"/>
      <c r="G4" s="68">
        <v>71467</v>
      </c>
      <c r="H4" s="70">
        <v>0</v>
      </c>
      <c r="I4" s="3"/>
      <c r="J4" s="3">
        <v>395</v>
      </c>
      <c r="K4" s="3">
        <v>263415</v>
      </c>
      <c r="L4" s="3"/>
      <c r="M4" s="3">
        <v>18325</v>
      </c>
      <c r="N4" s="3">
        <v>7849</v>
      </c>
      <c r="O4" s="3"/>
      <c r="P4" s="3">
        <v>3835</v>
      </c>
      <c r="Q4" s="3">
        <v>15522</v>
      </c>
      <c r="R4" s="227">
        <f t="shared" si="0"/>
        <v>478550</v>
      </c>
      <c r="S4" s="61"/>
      <c r="T4" s="61"/>
      <c r="U4" s="61"/>
      <c r="V4" s="184"/>
      <c r="W4" s="184"/>
      <c r="X4" s="184"/>
      <c r="Y4" s="184"/>
      <c r="Z4" s="184"/>
      <c r="AA4" s="184"/>
      <c r="AB4" s="184"/>
      <c r="AC4" s="184"/>
      <c r="AD4" s="184"/>
      <c r="AE4" s="184"/>
      <c r="AF4" s="184"/>
      <c r="AG4" s="184"/>
      <c r="AH4" s="184"/>
      <c r="AI4" s="184"/>
      <c r="AJ4" s="184"/>
      <c r="AM4" s="184"/>
    </row>
    <row r="5" spans="2:40" s="183" customFormat="1" hidden="1" x14ac:dyDescent="0.2">
      <c r="B5" s="226">
        <v>40057</v>
      </c>
      <c r="C5" s="3">
        <v>38346</v>
      </c>
      <c r="D5" s="3">
        <v>6945</v>
      </c>
      <c r="E5" s="3">
        <v>52710</v>
      </c>
      <c r="F5" s="3"/>
      <c r="G5" s="68">
        <v>72192</v>
      </c>
      <c r="H5" s="70">
        <v>0</v>
      </c>
      <c r="I5" s="3"/>
      <c r="J5" s="3">
        <v>402</v>
      </c>
      <c r="K5" s="3">
        <v>266381</v>
      </c>
      <c r="L5" s="3"/>
      <c r="M5" s="3">
        <v>18200</v>
      </c>
      <c r="N5" s="3">
        <v>7775</v>
      </c>
      <c r="O5" s="3"/>
      <c r="P5" s="3">
        <v>3724</v>
      </c>
      <c r="Q5" s="3">
        <v>15513</v>
      </c>
      <c r="R5" s="227">
        <f t="shared" si="0"/>
        <v>482188</v>
      </c>
      <c r="S5" s="61"/>
      <c r="T5" s="61"/>
      <c r="U5" s="61"/>
      <c r="V5" s="184"/>
      <c r="W5" s="184"/>
      <c r="X5" s="184"/>
      <c r="Y5" s="184"/>
      <c r="Z5" s="184"/>
      <c r="AA5" s="184"/>
      <c r="AB5" s="184"/>
      <c r="AC5" s="184"/>
      <c r="AD5" s="184"/>
      <c r="AE5" s="184"/>
      <c r="AF5" s="184"/>
      <c r="AG5" s="184"/>
      <c r="AH5" s="184"/>
      <c r="AI5" s="184"/>
      <c r="AJ5" s="184"/>
      <c r="AM5" s="184"/>
    </row>
    <row r="6" spans="2:40" s="183" customFormat="1" hidden="1" x14ac:dyDescent="0.2">
      <c r="B6" s="226">
        <v>40087</v>
      </c>
      <c r="C6" s="3">
        <v>38480</v>
      </c>
      <c r="D6" s="3">
        <v>6985</v>
      </c>
      <c r="E6" s="3">
        <v>52847</v>
      </c>
      <c r="F6" s="3"/>
      <c r="G6" s="68">
        <v>73474</v>
      </c>
      <c r="H6" s="70">
        <v>0</v>
      </c>
      <c r="I6" s="3"/>
      <c r="J6" s="3">
        <v>406</v>
      </c>
      <c r="K6" s="3">
        <v>270514</v>
      </c>
      <c r="L6" s="3"/>
      <c r="M6" s="3">
        <v>18169</v>
      </c>
      <c r="N6" s="3">
        <v>7713</v>
      </c>
      <c r="O6" s="3"/>
      <c r="P6" s="3">
        <v>3650</v>
      </c>
      <c r="Q6" s="3">
        <v>15638</v>
      </c>
      <c r="R6" s="227">
        <f t="shared" si="0"/>
        <v>487876</v>
      </c>
      <c r="S6" s="61"/>
      <c r="T6" s="61"/>
      <c r="U6" s="61"/>
      <c r="V6" s="184"/>
      <c r="W6" s="184"/>
      <c r="X6" s="184"/>
      <c r="Y6" s="184"/>
      <c r="Z6" s="184"/>
      <c r="AA6" s="184"/>
      <c r="AB6" s="184"/>
      <c r="AC6" s="184"/>
      <c r="AD6" s="184"/>
      <c r="AE6" s="184"/>
      <c r="AF6" s="184"/>
      <c r="AG6" s="184"/>
      <c r="AH6" s="184"/>
      <c r="AI6" s="184"/>
      <c r="AJ6" s="184"/>
      <c r="AM6" s="184"/>
    </row>
    <row r="7" spans="2:40" s="183" customFormat="1" hidden="1" x14ac:dyDescent="0.2">
      <c r="B7" s="226">
        <v>40118</v>
      </c>
      <c r="C7" s="3">
        <v>38387</v>
      </c>
      <c r="D7" s="3">
        <v>6986</v>
      </c>
      <c r="E7" s="3">
        <v>52982</v>
      </c>
      <c r="F7" s="3"/>
      <c r="G7" s="68">
        <v>73957</v>
      </c>
      <c r="H7" s="70">
        <v>0</v>
      </c>
      <c r="I7" s="3"/>
      <c r="J7" s="3">
        <v>418</v>
      </c>
      <c r="K7" s="3">
        <v>272453</v>
      </c>
      <c r="L7" s="3"/>
      <c r="M7" s="3">
        <v>17992</v>
      </c>
      <c r="N7" s="3">
        <v>7674</v>
      </c>
      <c r="O7" s="3"/>
      <c r="P7" s="3">
        <v>3644</v>
      </c>
      <c r="Q7" s="3">
        <v>15743</v>
      </c>
      <c r="R7" s="227">
        <f t="shared" si="0"/>
        <v>490236</v>
      </c>
      <c r="S7" s="61"/>
      <c r="T7" s="61"/>
      <c r="U7" s="61"/>
      <c r="V7" s="184"/>
      <c r="W7" s="184"/>
      <c r="X7" s="184"/>
      <c r="Y7" s="184"/>
      <c r="Z7" s="184"/>
      <c r="AA7" s="184"/>
      <c r="AB7" s="184"/>
      <c r="AC7" s="184"/>
      <c r="AD7" s="184"/>
      <c r="AE7" s="184"/>
      <c r="AF7" s="184"/>
      <c r="AG7" s="184"/>
      <c r="AH7" s="184"/>
      <c r="AI7" s="184"/>
      <c r="AJ7" s="184"/>
      <c r="AM7" s="184"/>
    </row>
    <row r="8" spans="2:40" s="183" customFormat="1" hidden="1" x14ac:dyDescent="0.2">
      <c r="B8" s="226">
        <v>40148</v>
      </c>
      <c r="C8" s="3">
        <v>38410</v>
      </c>
      <c r="D8" s="3">
        <v>7025</v>
      </c>
      <c r="E8" s="3">
        <v>53000</v>
      </c>
      <c r="F8" s="3"/>
      <c r="G8" s="68">
        <v>75120</v>
      </c>
      <c r="H8" s="70">
        <v>0</v>
      </c>
      <c r="I8" s="3"/>
      <c r="J8" s="3">
        <v>411</v>
      </c>
      <c r="K8" s="3">
        <v>275867</v>
      </c>
      <c r="L8" s="3"/>
      <c r="M8" s="3">
        <v>18371</v>
      </c>
      <c r="N8" s="3">
        <v>7627</v>
      </c>
      <c r="O8" s="3"/>
      <c r="P8" s="3">
        <v>3632</v>
      </c>
      <c r="Q8" s="3">
        <v>15846</v>
      </c>
      <c r="R8" s="227">
        <f t="shared" si="0"/>
        <v>495309</v>
      </c>
      <c r="S8" s="61"/>
      <c r="T8" s="61"/>
      <c r="U8" s="61"/>
      <c r="V8" s="184"/>
      <c r="W8" s="184"/>
      <c r="X8" s="184"/>
      <c r="Y8" s="184"/>
      <c r="Z8" s="184"/>
      <c r="AA8" s="184"/>
      <c r="AB8" s="184"/>
      <c r="AC8" s="184"/>
      <c r="AD8" s="184"/>
      <c r="AE8" s="184"/>
      <c r="AF8" s="184"/>
      <c r="AG8" s="184"/>
      <c r="AH8" s="184"/>
      <c r="AI8" s="184"/>
      <c r="AJ8" s="184"/>
      <c r="AM8" s="184"/>
    </row>
    <row r="9" spans="2:40" s="183" customFormat="1" hidden="1" x14ac:dyDescent="0.2">
      <c r="B9" s="226">
        <v>40179</v>
      </c>
      <c r="C9" s="3">
        <v>38452</v>
      </c>
      <c r="D9" s="3">
        <v>7047</v>
      </c>
      <c r="E9" s="3">
        <v>53255</v>
      </c>
      <c r="F9" s="3"/>
      <c r="G9" s="68">
        <v>76403</v>
      </c>
      <c r="H9" s="70">
        <v>0</v>
      </c>
      <c r="I9" s="3"/>
      <c r="J9" s="3">
        <v>416</v>
      </c>
      <c r="K9" s="3">
        <v>279000</v>
      </c>
      <c r="L9" s="3"/>
      <c r="M9" s="3">
        <v>18400</v>
      </c>
      <c r="N9" s="3">
        <v>7796</v>
      </c>
      <c r="O9" s="3"/>
      <c r="P9" s="3">
        <v>3610</v>
      </c>
      <c r="Q9" s="3">
        <v>15954</v>
      </c>
      <c r="R9" s="227">
        <f t="shared" si="0"/>
        <v>500333</v>
      </c>
      <c r="S9" s="61"/>
      <c r="T9" s="61"/>
      <c r="U9" s="61"/>
      <c r="V9" s="184"/>
      <c r="W9" s="184"/>
      <c r="X9" s="184"/>
      <c r="Y9" s="184"/>
      <c r="Z9" s="184"/>
      <c r="AA9" s="184"/>
      <c r="AB9" s="184"/>
      <c r="AC9" s="184"/>
      <c r="AD9" s="184"/>
      <c r="AE9" s="184"/>
      <c r="AF9" s="184"/>
      <c r="AG9" s="184"/>
      <c r="AH9" s="184"/>
      <c r="AI9" s="184"/>
      <c r="AJ9" s="184"/>
      <c r="AM9" s="184"/>
    </row>
    <row r="10" spans="2:40" s="183" customFormat="1" hidden="1" x14ac:dyDescent="0.2">
      <c r="B10" s="226">
        <v>40210</v>
      </c>
      <c r="C10" s="3">
        <v>38432</v>
      </c>
      <c r="D10" s="3">
        <v>7049</v>
      </c>
      <c r="E10" s="3">
        <v>53298</v>
      </c>
      <c r="F10" s="3"/>
      <c r="G10" s="68">
        <v>77214</v>
      </c>
      <c r="H10" s="70">
        <v>0</v>
      </c>
      <c r="I10" s="3"/>
      <c r="J10" s="3">
        <v>431</v>
      </c>
      <c r="K10" s="3">
        <v>279898</v>
      </c>
      <c r="L10" s="3"/>
      <c r="M10" s="3">
        <v>18467</v>
      </c>
      <c r="N10" s="3">
        <v>7779</v>
      </c>
      <c r="O10" s="3"/>
      <c r="P10" s="3">
        <v>3550</v>
      </c>
      <c r="Q10" s="3">
        <v>16076</v>
      </c>
      <c r="R10" s="227">
        <f t="shared" si="0"/>
        <v>502194</v>
      </c>
      <c r="S10" s="61"/>
      <c r="T10" s="61"/>
      <c r="U10" s="61"/>
      <c r="V10" s="184"/>
      <c r="W10" s="184"/>
      <c r="X10" s="184"/>
      <c r="Y10" s="184"/>
      <c r="Z10" s="184"/>
      <c r="AA10" s="184"/>
      <c r="AB10" s="184"/>
      <c r="AC10" s="184"/>
      <c r="AD10" s="184"/>
      <c r="AE10" s="184"/>
      <c r="AF10" s="184"/>
      <c r="AG10" s="184"/>
      <c r="AH10" s="184"/>
      <c r="AI10" s="184"/>
      <c r="AJ10" s="184"/>
      <c r="AM10" s="184"/>
    </row>
    <row r="11" spans="2:40" s="183" customFormat="1" hidden="1" x14ac:dyDescent="0.2">
      <c r="B11" s="226">
        <v>40238</v>
      </c>
      <c r="C11" s="3">
        <v>38597</v>
      </c>
      <c r="D11" s="3">
        <v>7152</v>
      </c>
      <c r="E11" s="3">
        <v>53629</v>
      </c>
      <c r="F11" s="3"/>
      <c r="G11" s="68">
        <v>79286</v>
      </c>
      <c r="H11" s="70">
        <v>0</v>
      </c>
      <c r="I11" s="3"/>
      <c r="J11" s="3">
        <v>449</v>
      </c>
      <c r="K11" s="3">
        <v>283625</v>
      </c>
      <c r="L11" s="3"/>
      <c r="M11" s="3">
        <v>18486</v>
      </c>
      <c r="N11" s="3">
        <v>7996</v>
      </c>
      <c r="O11" s="3"/>
      <c r="P11" s="3">
        <v>3768</v>
      </c>
      <c r="Q11" s="3">
        <v>16212</v>
      </c>
      <c r="R11" s="227">
        <f t="shared" si="0"/>
        <v>509200</v>
      </c>
      <c r="S11" s="61"/>
      <c r="T11" s="61"/>
      <c r="U11" s="61"/>
      <c r="V11" s="184"/>
      <c r="W11" s="184"/>
      <c r="X11" s="184"/>
      <c r="Y11" s="184"/>
      <c r="Z11" s="184"/>
      <c r="AA11" s="184"/>
      <c r="AB11" s="184"/>
      <c r="AC11" s="184"/>
      <c r="AD11" s="184"/>
      <c r="AE11" s="184"/>
      <c r="AF11" s="184"/>
      <c r="AG11" s="184"/>
      <c r="AH11" s="184"/>
      <c r="AI11" s="184"/>
      <c r="AJ11" s="184"/>
      <c r="AM11" s="184"/>
    </row>
    <row r="12" spans="2:40" s="183" customFormat="1" hidden="1" x14ac:dyDescent="0.2">
      <c r="B12" s="226">
        <v>40269</v>
      </c>
      <c r="C12" s="3">
        <v>38727</v>
      </c>
      <c r="D12" s="3">
        <v>7212</v>
      </c>
      <c r="E12" s="3">
        <v>53904</v>
      </c>
      <c r="F12" s="3"/>
      <c r="G12" s="68">
        <v>80192</v>
      </c>
      <c r="H12" s="70">
        <v>0</v>
      </c>
      <c r="I12" s="3"/>
      <c r="J12" s="3">
        <v>452</v>
      </c>
      <c r="K12" s="3">
        <v>285746</v>
      </c>
      <c r="L12" s="3"/>
      <c r="M12" s="3">
        <v>18552</v>
      </c>
      <c r="N12" s="3">
        <v>8054</v>
      </c>
      <c r="O12" s="3"/>
      <c r="P12" s="3">
        <v>3831</v>
      </c>
      <c r="Q12" s="3">
        <v>16308</v>
      </c>
      <c r="R12" s="227">
        <f t="shared" si="0"/>
        <v>512978</v>
      </c>
      <c r="S12" s="61"/>
      <c r="T12" s="61"/>
      <c r="U12" s="61"/>
      <c r="V12" s="184"/>
      <c r="W12" s="184"/>
      <c r="X12" s="184"/>
      <c r="Y12" s="184"/>
      <c r="Z12" s="184"/>
      <c r="AA12" s="184"/>
      <c r="AB12" s="184"/>
      <c r="AC12" s="184"/>
      <c r="AD12" s="184"/>
      <c r="AE12" s="184"/>
      <c r="AF12" s="184"/>
      <c r="AG12" s="184"/>
      <c r="AH12" s="184"/>
      <c r="AI12" s="184"/>
      <c r="AJ12" s="184"/>
      <c r="AM12" s="184"/>
    </row>
    <row r="13" spans="2:40" s="183" customFormat="1" hidden="1" x14ac:dyDescent="0.2">
      <c r="B13" s="226">
        <v>40299</v>
      </c>
      <c r="C13" s="3">
        <v>38754</v>
      </c>
      <c r="D13" s="3">
        <v>7228</v>
      </c>
      <c r="E13" s="3">
        <v>54164</v>
      </c>
      <c r="F13" s="3"/>
      <c r="G13" s="68">
        <v>75804</v>
      </c>
      <c r="H13" s="68">
        <v>18253</v>
      </c>
      <c r="I13" s="3"/>
      <c r="J13" s="3">
        <v>455</v>
      </c>
      <c r="K13" s="3">
        <v>285779</v>
      </c>
      <c r="L13" s="3"/>
      <c r="M13" s="3">
        <v>18651</v>
      </c>
      <c r="N13" s="3">
        <v>8039</v>
      </c>
      <c r="O13" s="3"/>
      <c r="P13" s="3">
        <v>3615</v>
      </c>
      <c r="Q13" s="3">
        <v>16285</v>
      </c>
      <c r="R13" s="227">
        <f t="shared" si="0"/>
        <v>527027</v>
      </c>
      <c r="S13" s="61"/>
      <c r="T13" s="61"/>
      <c r="U13" s="61"/>
      <c r="V13" s="184"/>
      <c r="W13" s="184"/>
      <c r="X13" s="184"/>
      <c r="Y13" s="184"/>
      <c r="Z13" s="184"/>
      <c r="AA13" s="184"/>
      <c r="AB13" s="184"/>
      <c r="AC13" s="184"/>
      <c r="AD13" s="184"/>
      <c r="AE13" s="184"/>
      <c r="AF13" s="184"/>
      <c r="AG13" s="184"/>
      <c r="AH13" s="184"/>
      <c r="AI13" s="184"/>
      <c r="AJ13" s="184"/>
      <c r="AM13" s="184"/>
    </row>
    <row r="14" spans="2:40" s="183" customFormat="1" hidden="1" x14ac:dyDescent="0.2">
      <c r="B14" s="226">
        <v>40330</v>
      </c>
      <c r="C14" s="3">
        <v>38900</v>
      </c>
      <c r="D14" s="3">
        <v>7326</v>
      </c>
      <c r="E14" s="3">
        <v>54493</v>
      </c>
      <c r="F14" s="3"/>
      <c r="G14" s="68">
        <v>72608</v>
      </c>
      <c r="H14" s="68">
        <v>20607</v>
      </c>
      <c r="I14" s="3"/>
      <c r="J14" s="3">
        <v>466</v>
      </c>
      <c r="K14" s="3">
        <v>285778</v>
      </c>
      <c r="L14" s="3"/>
      <c r="M14" s="3">
        <v>18678</v>
      </c>
      <c r="N14" s="3">
        <v>7903</v>
      </c>
      <c r="O14" s="3"/>
      <c r="P14" s="3">
        <v>3522</v>
      </c>
      <c r="Q14" s="3">
        <v>16495</v>
      </c>
      <c r="R14" s="227">
        <f>SUM(C14:Q14)</f>
        <v>526776</v>
      </c>
      <c r="S14" s="61"/>
      <c r="T14" s="61"/>
      <c r="U14" s="61"/>
      <c r="V14" s="184"/>
      <c r="W14" s="184"/>
      <c r="X14" s="184"/>
      <c r="Y14" s="184"/>
      <c r="Z14" s="184"/>
      <c r="AA14" s="184"/>
      <c r="AB14" s="184"/>
      <c r="AC14" s="184"/>
      <c r="AD14" s="184"/>
      <c r="AE14" s="184"/>
      <c r="AF14" s="184"/>
      <c r="AG14" s="184"/>
      <c r="AH14" s="184"/>
      <c r="AI14" s="184"/>
      <c r="AJ14" s="184"/>
      <c r="AM14" s="184"/>
    </row>
    <row r="15" spans="2:40" s="185" customFormat="1" hidden="1" x14ac:dyDescent="0.2">
      <c r="B15" s="228" t="s">
        <v>98</v>
      </c>
      <c r="C15" s="8">
        <f t="shared" ref="C15:M15" si="1">ROUND(AVERAGE(C3:C14),0)</f>
        <v>38487</v>
      </c>
      <c r="D15" s="8">
        <f t="shared" si="1"/>
        <v>7049</v>
      </c>
      <c r="E15" s="8">
        <f t="shared" si="1"/>
        <v>53264</v>
      </c>
      <c r="F15" s="8"/>
      <c r="G15" s="8">
        <f t="shared" si="1"/>
        <v>74839</v>
      </c>
      <c r="H15" s="8">
        <f t="shared" si="1"/>
        <v>3238</v>
      </c>
      <c r="I15" s="8"/>
      <c r="J15" s="8">
        <f>ROUND(AVERAGE(J3:J14),0)</f>
        <v>425</v>
      </c>
      <c r="K15" s="8">
        <f>ROUND(AVERAGE(K3:K14),0)</f>
        <v>275672</v>
      </c>
      <c r="L15" s="8"/>
      <c r="M15" s="8">
        <f t="shared" si="1"/>
        <v>18381</v>
      </c>
      <c r="N15" s="8">
        <f>ROUNDUP(AVERAGE(N3:N14),0)</f>
        <v>7830</v>
      </c>
      <c r="O15" s="8"/>
      <c r="P15" s="8">
        <f>ROUND(AVERAGE(P3:P14),0)</f>
        <v>3693</v>
      </c>
      <c r="Q15" s="8">
        <f>ROUND(AVERAGE(Q3:Q14),0)</f>
        <v>15919</v>
      </c>
      <c r="R15" s="229">
        <f>SUM(C15:Q15)</f>
        <v>498797</v>
      </c>
      <c r="S15" s="62"/>
      <c r="T15" s="62"/>
      <c r="U15" s="62"/>
      <c r="AM15" s="186"/>
      <c r="AN15" s="183"/>
    </row>
    <row r="16" spans="2:40" s="183" customFormat="1" hidden="1" x14ac:dyDescent="0.2">
      <c r="B16" s="226">
        <v>40360</v>
      </c>
      <c r="C16" s="3"/>
      <c r="D16" s="3">
        <v>7395</v>
      </c>
      <c r="E16" s="4">
        <v>54740</v>
      </c>
      <c r="F16" s="4">
        <v>0</v>
      </c>
      <c r="G16" s="68">
        <v>73769</v>
      </c>
      <c r="H16" s="68">
        <v>21446</v>
      </c>
      <c r="I16" s="4">
        <v>0</v>
      </c>
      <c r="J16" s="3">
        <v>471</v>
      </c>
      <c r="K16" s="4">
        <v>287674</v>
      </c>
      <c r="L16" s="4">
        <v>0</v>
      </c>
      <c r="M16" s="3">
        <v>18628</v>
      </c>
      <c r="N16" s="3">
        <v>7909</v>
      </c>
      <c r="O16" s="4">
        <v>0</v>
      </c>
      <c r="P16" s="3">
        <v>3492</v>
      </c>
      <c r="Q16" s="4">
        <v>16539</v>
      </c>
      <c r="R16" s="227">
        <f t="shared" ref="R16:R40" si="2">SUM(C16:Q16)</f>
        <v>492063</v>
      </c>
      <c r="S16" s="61"/>
      <c r="T16" s="61"/>
      <c r="U16" s="61"/>
      <c r="V16" s="184"/>
      <c r="W16" s="184"/>
      <c r="X16" s="184"/>
      <c r="Y16" s="184"/>
      <c r="Z16" s="184"/>
      <c r="AA16" s="184"/>
      <c r="AB16" s="184"/>
      <c r="AC16" s="184"/>
      <c r="AD16" s="184"/>
      <c r="AE16" s="184"/>
      <c r="AF16" s="184"/>
      <c r="AG16" s="184"/>
      <c r="AH16" s="184"/>
      <c r="AI16" s="184"/>
      <c r="AJ16" s="184"/>
      <c r="AK16" s="187"/>
      <c r="AL16" s="188"/>
      <c r="AM16" s="468"/>
    </row>
    <row r="17" spans="2:40" s="183" customFormat="1" hidden="1" x14ac:dyDescent="0.2">
      <c r="B17" s="226">
        <v>40391</v>
      </c>
      <c r="C17" s="3">
        <v>38648</v>
      </c>
      <c r="D17" s="3">
        <v>7492</v>
      </c>
      <c r="E17" s="4">
        <v>55032</v>
      </c>
      <c r="F17" s="4">
        <v>0</v>
      </c>
      <c r="G17" s="68">
        <v>75863</v>
      </c>
      <c r="H17" s="68">
        <v>24193</v>
      </c>
      <c r="I17" s="4">
        <v>0</v>
      </c>
      <c r="J17" s="3">
        <v>493</v>
      </c>
      <c r="K17" s="4">
        <f>218121+72750</f>
        <v>290871</v>
      </c>
      <c r="L17" s="4">
        <v>0</v>
      </c>
      <c r="M17" s="3">
        <v>18455</v>
      </c>
      <c r="N17" s="3">
        <f>7448+566</f>
        <v>8014</v>
      </c>
      <c r="O17" s="4">
        <v>0</v>
      </c>
      <c r="P17" s="3">
        <v>3378</v>
      </c>
      <c r="Q17" s="4">
        <f>11132+5502</f>
        <v>16634</v>
      </c>
      <c r="R17" s="227">
        <f t="shared" si="2"/>
        <v>539073</v>
      </c>
      <c r="S17" s="61"/>
      <c r="T17" s="61"/>
      <c r="U17" s="61"/>
      <c r="V17" s="184"/>
      <c r="W17" s="184"/>
      <c r="X17" s="184"/>
      <c r="Y17" s="184"/>
      <c r="Z17" s="184"/>
      <c r="AA17" s="184"/>
      <c r="AB17" s="184"/>
      <c r="AC17" s="184"/>
      <c r="AD17" s="184"/>
      <c r="AE17" s="184"/>
      <c r="AF17" s="184"/>
      <c r="AG17" s="184"/>
      <c r="AH17" s="184"/>
      <c r="AI17" s="184"/>
      <c r="AJ17" s="184"/>
      <c r="AK17" s="187"/>
      <c r="AL17" s="188"/>
      <c r="AM17" s="468"/>
    </row>
    <row r="18" spans="2:40" s="183" customFormat="1" hidden="1" x14ac:dyDescent="0.2">
      <c r="B18" s="226">
        <v>40422</v>
      </c>
      <c r="C18" s="3">
        <v>38774</v>
      </c>
      <c r="D18" s="3">
        <v>7562</v>
      </c>
      <c r="E18" s="4">
        <v>55223</v>
      </c>
      <c r="F18" s="4">
        <v>0</v>
      </c>
      <c r="G18" s="68">
        <v>76255</v>
      </c>
      <c r="H18" s="68">
        <v>25071</v>
      </c>
      <c r="I18" s="4">
        <v>0</v>
      </c>
      <c r="J18" s="3">
        <v>503</v>
      </c>
      <c r="K18" s="4">
        <f>223315+68277</f>
        <v>291592</v>
      </c>
      <c r="L18" s="4">
        <v>0</v>
      </c>
      <c r="M18" s="3">
        <v>18451</v>
      </c>
      <c r="N18" s="3">
        <f>7410+561</f>
        <v>7971</v>
      </c>
      <c r="O18" s="4">
        <v>0</v>
      </c>
      <c r="P18" s="3">
        <v>3231</v>
      </c>
      <c r="Q18" s="4">
        <f>11140+5512</f>
        <v>16652</v>
      </c>
      <c r="R18" s="227">
        <f t="shared" si="2"/>
        <v>541285</v>
      </c>
      <c r="S18" s="61"/>
      <c r="T18" s="61"/>
      <c r="U18" s="61"/>
      <c r="V18" s="184"/>
      <c r="W18" s="184"/>
      <c r="X18" s="184"/>
      <c r="Y18" s="184"/>
      <c r="Z18" s="184"/>
      <c r="AA18" s="184"/>
      <c r="AB18" s="184"/>
      <c r="AC18" s="184"/>
      <c r="AD18" s="184"/>
      <c r="AE18" s="184"/>
      <c r="AF18" s="184"/>
      <c r="AG18" s="184"/>
      <c r="AH18" s="184"/>
      <c r="AI18" s="184"/>
      <c r="AJ18" s="184"/>
      <c r="AK18" s="187"/>
      <c r="AL18" s="188"/>
      <c r="AM18" s="468"/>
    </row>
    <row r="19" spans="2:40" s="183" customFormat="1" hidden="1" x14ac:dyDescent="0.2">
      <c r="B19" s="226">
        <v>40452</v>
      </c>
      <c r="C19" s="3">
        <v>38901</v>
      </c>
      <c r="D19" s="3">
        <v>7602</v>
      </c>
      <c r="E19" s="4">
        <v>55508</v>
      </c>
      <c r="F19" s="4">
        <v>0</v>
      </c>
      <c r="G19" s="68">
        <v>77291</v>
      </c>
      <c r="H19" s="68">
        <v>26016</v>
      </c>
      <c r="I19" s="4">
        <v>0</v>
      </c>
      <c r="J19" s="3">
        <v>505</v>
      </c>
      <c r="K19" s="4">
        <v>294155</v>
      </c>
      <c r="L19" s="4">
        <v>0</v>
      </c>
      <c r="M19" s="3">
        <v>18464</v>
      </c>
      <c r="N19" s="3">
        <v>7985</v>
      </c>
      <c r="O19" s="4">
        <v>0</v>
      </c>
      <c r="P19" s="3">
        <v>3080</v>
      </c>
      <c r="Q19" s="4">
        <v>16794</v>
      </c>
      <c r="R19" s="227">
        <f t="shared" si="2"/>
        <v>546301</v>
      </c>
      <c r="S19" s="61"/>
      <c r="T19" s="61"/>
      <c r="U19" s="61"/>
      <c r="V19" s="184"/>
      <c r="W19" s="184"/>
      <c r="X19" s="184"/>
      <c r="Y19" s="184"/>
      <c r="Z19" s="184"/>
      <c r="AA19" s="184"/>
      <c r="AB19" s="184"/>
      <c r="AC19" s="184"/>
      <c r="AD19" s="184"/>
      <c r="AE19" s="184"/>
      <c r="AF19" s="184"/>
      <c r="AG19" s="184"/>
      <c r="AH19" s="184"/>
      <c r="AI19" s="184"/>
      <c r="AJ19" s="184"/>
      <c r="AK19" s="187"/>
      <c r="AL19" s="188"/>
      <c r="AM19" s="468"/>
    </row>
    <row r="20" spans="2:40" s="183" customFormat="1" hidden="1" x14ac:dyDescent="0.2">
      <c r="B20" s="226">
        <v>40483</v>
      </c>
      <c r="C20" s="3">
        <v>39009</v>
      </c>
      <c r="D20" s="3">
        <v>7682</v>
      </c>
      <c r="E20" s="4">
        <v>55804</v>
      </c>
      <c r="F20" s="4">
        <v>0</v>
      </c>
      <c r="G20" s="68">
        <v>78278</v>
      </c>
      <c r="H20" s="68">
        <v>26924</v>
      </c>
      <c r="I20" s="4">
        <v>0</v>
      </c>
      <c r="J20" s="3">
        <v>511</v>
      </c>
      <c r="K20" s="4">
        <v>296482</v>
      </c>
      <c r="L20" s="4">
        <v>0</v>
      </c>
      <c r="M20" s="3">
        <v>18597</v>
      </c>
      <c r="N20" s="3">
        <v>7891</v>
      </c>
      <c r="O20" s="4">
        <v>0</v>
      </c>
      <c r="P20" s="3">
        <v>3049</v>
      </c>
      <c r="Q20" s="4">
        <v>16941</v>
      </c>
      <c r="R20" s="227">
        <f t="shared" si="2"/>
        <v>551168</v>
      </c>
      <c r="S20" s="61"/>
      <c r="T20" s="61"/>
      <c r="U20" s="61"/>
      <c r="V20" s="184"/>
      <c r="W20" s="184"/>
      <c r="X20" s="184"/>
      <c r="Y20" s="184"/>
      <c r="Z20" s="184"/>
      <c r="AA20" s="184"/>
      <c r="AB20" s="184"/>
      <c r="AC20" s="184"/>
      <c r="AD20" s="184"/>
      <c r="AE20" s="184"/>
      <c r="AF20" s="184"/>
      <c r="AG20" s="184"/>
      <c r="AH20" s="184"/>
      <c r="AI20" s="184"/>
      <c r="AJ20" s="184"/>
      <c r="AK20" s="187"/>
      <c r="AL20" s="188"/>
      <c r="AM20" s="468"/>
    </row>
    <row r="21" spans="2:40" s="183" customFormat="1" hidden="1" x14ac:dyDescent="0.2">
      <c r="B21" s="226">
        <v>40513</v>
      </c>
      <c r="C21" s="3">
        <v>38769</v>
      </c>
      <c r="D21" s="3">
        <v>7721</v>
      </c>
      <c r="E21" s="4">
        <v>55937</v>
      </c>
      <c r="F21" s="4">
        <v>0</v>
      </c>
      <c r="G21" s="68">
        <v>79773</v>
      </c>
      <c r="H21" s="68">
        <v>27596</v>
      </c>
      <c r="I21" s="4">
        <v>0</v>
      </c>
      <c r="J21" s="3">
        <v>526</v>
      </c>
      <c r="K21" s="4">
        <v>299499</v>
      </c>
      <c r="L21" s="4">
        <v>0</v>
      </c>
      <c r="M21" s="3">
        <v>18510</v>
      </c>
      <c r="N21" s="3">
        <v>7764</v>
      </c>
      <c r="O21" s="4">
        <v>0</v>
      </c>
      <c r="P21" s="3">
        <v>3023</v>
      </c>
      <c r="Q21" s="3">
        <v>17002</v>
      </c>
      <c r="R21" s="227">
        <f t="shared" si="2"/>
        <v>556120</v>
      </c>
      <c r="S21" s="61"/>
      <c r="T21" s="61"/>
      <c r="U21" s="61"/>
      <c r="V21" s="184"/>
      <c r="W21" s="184"/>
      <c r="X21" s="184"/>
      <c r="Y21" s="184"/>
      <c r="Z21" s="184"/>
      <c r="AA21" s="184"/>
      <c r="AB21" s="184"/>
      <c r="AC21" s="184"/>
      <c r="AD21" s="184"/>
      <c r="AE21" s="184"/>
      <c r="AF21" s="184"/>
      <c r="AG21" s="184"/>
      <c r="AH21" s="184"/>
      <c r="AI21" s="184"/>
      <c r="AJ21" s="184"/>
      <c r="AK21" s="187"/>
      <c r="AL21" s="188"/>
      <c r="AM21" s="468"/>
    </row>
    <row r="22" spans="2:40" s="183" customFormat="1" hidden="1" x14ac:dyDescent="0.2">
      <c r="B22" s="226">
        <v>40544</v>
      </c>
      <c r="C22" s="3">
        <v>38813</v>
      </c>
      <c r="D22" s="3">
        <v>7781</v>
      </c>
      <c r="E22" s="4">
        <v>56417</v>
      </c>
      <c r="F22" s="4">
        <v>0</v>
      </c>
      <c r="G22" s="69">
        <v>82824</v>
      </c>
      <c r="H22" s="68">
        <v>27188</v>
      </c>
      <c r="I22" s="3">
        <v>0</v>
      </c>
      <c r="J22" s="3">
        <v>532</v>
      </c>
      <c r="K22" s="4">
        <v>304042</v>
      </c>
      <c r="L22" s="3">
        <v>0</v>
      </c>
      <c r="M22" s="3">
        <v>18386</v>
      </c>
      <c r="N22" s="3">
        <v>7806</v>
      </c>
      <c r="O22" s="3">
        <v>0</v>
      </c>
      <c r="P22" s="3">
        <v>3116</v>
      </c>
      <c r="Q22" s="3">
        <v>17210</v>
      </c>
      <c r="R22" s="227">
        <f t="shared" si="2"/>
        <v>564115</v>
      </c>
      <c r="S22" s="61"/>
      <c r="T22" s="61"/>
      <c r="U22" s="61"/>
      <c r="V22" s="184"/>
      <c r="W22" s="184"/>
      <c r="X22" s="184"/>
      <c r="Y22" s="184"/>
      <c r="Z22" s="184"/>
      <c r="AA22" s="184"/>
      <c r="AB22" s="184"/>
      <c r="AC22" s="184"/>
      <c r="AD22" s="184"/>
      <c r="AE22" s="184"/>
      <c r="AF22" s="184"/>
      <c r="AG22" s="184"/>
      <c r="AH22" s="184"/>
      <c r="AI22" s="184"/>
      <c r="AJ22" s="184"/>
      <c r="AK22" s="187"/>
      <c r="AL22" s="188"/>
      <c r="AM22" s="468"/>
    </row>
    <row r="23" spans="2:40" s="183" customFormat="1" hidden="1" x14ac:dyDescent="0.2">
      <c r="B23" s="226">
        <v>40575</v>
      </c>
      <c r="C23" s="3">
        <v>38823</v>
      </c>
      <c r="D23" s="3">
        <v>7870</v>
      </c>
      <c r="E23" s="3">
        <v>56671</v>
      </c>
      <c r="F23" s="3">
        <v>0</v>
      </c>
      <c r="G23" s="68">
        <v>83547</v>
      </c>
      <c r="H23" s="68">
        <v>28323</v>
      </c>
      <c r="I23" s="3">
        <v>0</v>
      </c>
      <c r="J23" s="3">
        <v>535</v>
      </c>
      <c r="K23" s="3">
        <v>307032</v>
      </c>
      <c r="L23" s="3">
        <v>0</v>
      </c>
      <c r="M23" s="3">
        <v>18200</v>
      </c>
      <c r="N23" s="3">
        <v>7677</v>
      </c>
      <c r="O23" s="3">
        <v>0</v>
      </c>
      <c r="P23" s="3">
        <v>3161</v>
      </c>
      <c r="Q23" s="3">
        <v>17249</v>
      </c>
      <c r="R23" s="227">
        <f t="shared" si="2"/>
        <v>569088</v>
      </c>
      <c r="S23" s="61"/>
      <c r="T23" s="61"/>
      <c r="U23" s="61"/>
      <c r="V23" s="184"/>
      <c r="W23" s="184"/>
      <c r="X23" s="184"/>
      <c r="Y23" s="184"/>
      <c r="Z23" s="184"/>
      <c r="AA23" s="184"/>
      <c r="AB23" s="184"/>
      <c r="AC23" s="184"/>
      <c r="AD23" s="184"/>
      <c r="AE23" s="184"/>
      <c r="AF23" s="184"/>
      <c r="AG23" s="184"/>
      <c r="AH23" s="184"/>
      <c r="AI23" s="184"/>
      <c r="AJ23" s="184"/>
      <c r="AK23" s="187"/>
      <c r="AL23" s="188"/>
      <c r="AM23" s="468"/>
    </row>
    <row r="24" spans="2:40" s="183" customFormat="1" hidden="1" x14ac:dyDescent="0.2">
      <c r="B24" s="226">
        <v>40603</v>
      </c>
      <c r="C24" s="3">
        <v>38939</v>
      </c>
      <c r="D24" s="3">
        <v>7966</v>
      </c>
      <c r="E24" s="4">
        <v>57103</v>
      </c>
      <c r="F24" s="4">
        <v>0</v>
      </c>
      <c r="G24" s="68">
        <v>85574</v>
      </c>
      <c r="H24" s="68">
        <v>28968</v>
      </c>
      <c r="I24" s="4">
        <v>0</v>
      </c>
      <c r="J24" s="3">
        <v>556</v>
      </c>
      <c r="K24" s="4">
        <v>312300</v>
      </c>
      <c r="L24" s="4">
        <v>0</v>
      </c>
      <c r="M24" s="3">
        <v>18244</v>
      </c>
      <c r="N24" s="3">
        <v>7881</v>
      </c>
      <c r="O24" s="4">
        <v>0</v>
      </c>
      <c r="P24" s="3">
        <v>3271</v>
      </c>
      <c r="Q24" s="4">
        <v>17390</v>
      </c>
      <c r="R24" s="227">
        <f t="shared" si="2"/>
        <v>578192</v>
      </c>
      <c r="S24" s="61"/>
      <c r="T24" s="61"/>
      <c r="U24" s="61"/>
      <c r="V24" s="184"/>
      <c r="W24" s="184"/>
      <c r="X24" s="184"/>
      <c r="Y24" s="184"/>
      <c r="Z24" s="184"/>
      <c r="AA24" s="184"/>
      <c r="AB24" s="184"/>
      <c r="AC24" s="184"/>
      <c r="AD24" s="184"/>
      <c r="AE24" s="184"/>
      <c r="AF24" s="184"/>
      <c r="AG24" s="184"/>
      <c r="AH24" s="184"/>
      <c r="AI24" s="184"/>
      <c r="AJ24" s="184"/>
      <c r="AK24" s="187"/>
      <c r="AL24" s="188"/>
      <c r="AM24" s="468"/>
    </row>
    <row r="25" spans="2:40" s="183" customFormat="1" hidden="1" x14ac:dyDescent="0.2">
      <c r="B25" s="226">
        <v>40634</v>
      </c>
      <c r="C25" s="3">
        <v>38861</v>
      </c>
      <c r="D25" s="3">
        <v>7987</v>
      </c>
      <c r="E25" s="4">
        <v>57385</v>
      </c>
      <c r="F25" s="4">
        <v>0</v>
      </c>
      <c r="G25" s="68">
        <v>85763</v>
      </c>
      <c r="H25" s="68">
        <v>29451</v>
      </c>
      <c r="I25" s="4">
        <v>0</v>
      </c>
      <c r="J25" s="3">
        <v>569</v>
      </c>
      <c r="K25" s="4">
        <v>312603</v>
      </c>
      <c r="L25" s="4">
        <v>0</v>
      </c>
      <c r="M25" s="3">
        <v>18280</v>
      </c>
      <c r="N25" s="3">
        <v>7864</v>
      </c>
      <c r="O25" s="4">
        <v>0</v>
      </c>
      <c r="P25" s="3">
        <v>3274</v>
      </c>
      <c r="Q25" s="4">
        <v>17399</v>
      </c>
      <c r="R25" s="227">
        <f t="shared" si="2"/>
        <v>579436</v>
      </c>
      <c r="S25" s="61"/>
      <c r="T25" s="61"/>
      <c r="U25" s="61"/>
      <c r="V25" s="184"/>
      <c r="W25" s="184"/>
      <c r="X25" s="184"/>
      <c r="Y25" s="184"/>
      <c r="Z25" s="184"/>
      <c r="AA25" s="184"/>
      <c r="AB25" s="184"/>
      <c r="AC25" s="184"/>
      <c r="AD25" s="184"/>
      <c r="AE25" s="184"/>
      <c r="AF25" s="184"/>
      <c r="AG25" s="184"/>
      <c r="AH25" s="184"/>
      <c r="AI25" s="184"/>
      <c r="AJ25" s="184"/>
      <c r="AK25" s="187"/>
      <c r="AL25" s="188"/>
      <c r="AM25" s="468"/>
    </row>
    <row r="26" spans="2:40" s="183" customFormat="1" hidden="1" x14ac:dyDescent="0.2">
      <c r="B26" s="226">
        <v>40664</v>
      </c>
      <c r="C26" s="3">
        <v>38981</v>
      </c>
      <c r="D26" s="3">
        <v>8051</v>
      </c>
      <c r="E26" s="4">
        <v>57608</v>
      </c>
      <c r="F26" s="4">
        <v>0</v>
      </c>
      <c r="G26" s="68">
        <v>86596</v>
      </c>
      <c r="H26" s="68">
        <v>30102</v>
      </c>
      <c r="I26" s="4">
        <v>0</v>
      </c>
      <c r="J26" s="3">
        <v>587</v>
      </c>
      <c r="K26" s="4">
        <v>315116</v>
      </c>
      <c r="L26" s="4">
        <v>0</v>
      </c>
      <c r="M26" s="3">
        <v>18279</v>
      </c>
      <c r="N26" s="3">
        <v>7830</v>
      </c>
      <c r="O26" s="4">
        <v>0</v>
      </c>
      <c r="P26" s="3">
        <v>3255</v>
      </c>
      <c r="Q26" s="4">
        <v>17546</v>
      </c>
      <c r="R26" s="227">
        <f t="shared" si="2"/>
        <v>583951</v>
      </c>
      <c r="S26" s="61"/>
      <c r="T26" s="61"/>
      <c r="U26" s="61"/>
      <c r="V26" s="184"/>
      <c r="W26" s="184"/>
      <c r="X26" s="184"/>
      <c r="Y26" s="184"/>
      <c r="Z26" s="184"/>
      <c r="AA26" s="184"/>
      <c r="AB26" s="184"/>
      <c r="AC26" s="184"/>
      <c r="AD26" s="184"/>
      <c r="AE26" s="184"/>
      <c r="AF26" s="184"/>
      <c r="AG26" s="184"/>
      <c r="AH26" s="184"/>
      <c r="AI26" s="184"/>
      <c r="AJ26" s="184"/>
      <c r="AK26" s="187"/>
      <c r="AL26" s="188"/>
      <c r="AM26" s="468"/>
    </row>
    <row r="27" spans="2:40" s="183" customFormat="1" hidden="1" x14ac:dyDescent="0.2">
      <c r="B27" s="226">
        <v>40695</v>
      </c>
      <c r="C27" s="3">
        <v>39154</v>
      </c>
      <c r="D27" s="3">
        <v>8089</v>
      </c>
      <c r="E27" s="4">
        <v>57986</v>
      </c>
      <c r="F27" s="4">
        <v>0</v>
      </c>
      <c r="G27" s="68">
        <v>87827</v>
      </c>
      <c r="H27" s="68">
        <v>30724</v>
      </c>
      <c r="I27" s="4">
        <v>0</v>
      </c>
      <c r="J27" s="3">
        <v>589</v>
      </c>
      <c r="K27" s="4">
        <v>317551</v>
      </c>
      <c r="L27" s="4">
        <v>0</v>
      </c>
      <c r="M27" s="3">
        <v>18221</v>
      </c>
      <c r="N27" s="3">
        <v>7828</v>
      </c>
      <c r="O27" s="4">
        <v>0</v>
      </c>
      <c r="P27" s="3">
        <v>3229</v>
      </c>
      <c r="Q27" s="4">
        <v>17727</v>
      </c>
      <c r="R27" s="227">
        <f t="shared" si="2"/>
        <v>588925</v>
      </c>
      <c r="S27" s="61"/>
      <c r="T27" s="61"/>
      <c r="U27" s="61"/>
      <c r="V27" s="184"/>
      <c r="W27" s="184"/>
      <c r="X27" s="184"/>
      <c r="Y27" s="184"/>
      <c r="Z27" s="184"/>
      <c r="AA27" s="184"/>
      <c r="AB27" s="184"/>
      <c r="AC27" s="184"/>
      <c r="AD27" s="184"/>
      <c r="AE27" s="184"/>
      <c r="AF27" s="184"/>
      <c r="AG27" s="184"/>
      <c r="AH27" s="184"/>
      <c r="AI27" s="184"/>
      <c r="AJ27" s="184"/>
      <c r="AK27" s="187"/>
      <c r="AL27" s="188"/>
      <c r="AM27" s="468"/>
    </row>
    <row r="28" spans="2:40" s="185" customFormat="1" hidden="1" x14ac:dyDescent="0.25">
      <c r="B28" s="228" t="s">
        <v>103</v>
      </c>
      <c r="C28" s="8">
        <f>ROUND(AVERAGE(C16:C27),0)</f>
        <v>38879</v>
      </c>
      <c r="D28" s="8">
        <f t="shared" ref="D28:P28" si="3">ROUND(AVERAGE(D16:D27),0)</f>
        <v>7767</v>
      </c>
      <c r="E28" s="8">
        <f t="shared" si="3"/>
        <v>56285</v>
      </c>
      <c r="F28" s="8">
        <v>0</v>
      </c>
      <c r="G28" s="8">
        <f>ROUND(AVERAGE(G16:G27),0)+1</f>
        <v>81114</v>
      </c>
      <c r="H28" s="8">
        <f t="shared" si="3"/>
        <v>27167</v>
      </c>
      <c r="I28" s="8">
        <v>0</v>
      </c>
      <c r="J28" s="8">
        <f>ROUND(AVERAGE(J16:J27),0)</f>
        <v>531</v>
      </c>
      <c r="K28" s="8">
        <f>ROUND(AVERAGE(K16:K27),0)</f>
        <v>302410</v>
      </c>
      <c r="L28" s="8">
        <v>0</v>
      </c>
      <c r="M28" s="8">
        <f t="shared" si="3"/>
        <v>18393</v>
      </c>
      <c r="N28" s="8">
        <f t="shared" si="3"/>
        <v>7868</v>
      </c>
      <c r="O28" s="8">
        <v>0</v>
      </c>
      <c r="P28" s="8">
        <f t="shared" si="3"/>
        <v>3213</v>
      </c>
      <c r="Q28" s="8">
        <f>ROUND(AVERAGE(Q16:Q27),0)</f>
        <v>17090</v>
      </c>
      <c r="R28" s="229">
        <f>SUM(C28:Q28)</f>
        <v>560717</v>
      </c>
      <c r="S28" s="62"/>
      <c r="T28" s="62"/>
      <c r="U28" s="62"/>
      <c r="W28" s="312"/>
      <c r="AM28" s="186"/>
      <c r="AN28" s="183"/>
    </row>
    <row r="29" spans="2:40" s="185" customFormat="1" hidden="1" x14ac:dyDescent="0.2">
      <c r="B29" s="226">
        <v>40725</v>
      </c>
      <c r="C29" s="3">
        <v>39341</v>
      </c>
      <c r="D29" s="3">
        <v>8133</v>
      </c>
      <c r="E29" s="3">
        <v>58294</v>
      </c>
      <c r="F29" s="3">
        <v>0</v>
      </c>
      <c r="G29" s="68">
        <v>87556</v>
      </c>
      <c r="H29" s="68">
        <v>31920</v>
      </c>
      <c r="I29" s="3">
        <v>0</v>
      </c>
      <c r="J29" s="3">
        <v>587</v>
      </c>
      <c r="K29" s="3">
        <v>319065</v>
      </c>
      <c r="L29" s="3">
        <v>0</v>
      </c>
      <c r="M29" s="3">
        <v>18125</v>
      </c>
      <c r="N29" s="3">
        <v>7810</v>
      </c>
      <c r="O29" s="3">
        <v>0</v>
      </c>
      <c r="P29" s="3">
        <v>3089</v>
      </c>
      <c r="Q29" s="3">
        <v>17923</v>
      </c>
      <c r="R29" s="227">
        <f t="shared" si="2"/>
        <v>591843</v>
      </c>
      <c r="S29" s="5"/>
      <c r="T29" s="5"/>
      <c r="U29" s="5"/>
      <c r="V29" s="184"/>
      <c r="W29" s="184"/>
      <c r="X29" s="184"/>
      <c r="Y29" s="184"/>
      <c r="Z29" s="184"/>
      <c r="AA29" s="184"/>
      <c r="AB29" s="184"/>
      <c r="AC29" s="184"/>
      <c r="AD29" s="184"/>
      <c r="AE29" s="184"/>
      <c r="AF29" s="184"/>
      <c r="AG29" s="184"/>
      <c r="AH29" s="184"/>
      <c r="AI29" s="184"/>
      <c r="AJ29" s="184"/>
      <c r="AK29" s="187"/>
      <c r="AL29" s="188"/>
      <c r="AM29" s="186"/>
      <c r="AN29" s="183"/>
    </row>
    <row r="30" spans="2:40" s="185" customFormat="1" hidden="1" x14ac:dyDescent="0.2">
      <c r="B30" s="226">
        <v>40756</v>
      </c>
      <c r="C30" s="3">
        <v>39537</v>
      </c>
      <c r="D30" s="3">
        <v>8222</v>
      </c>
      <c r="E30" s="3">
        <v>58712</v>
      </c>
      <c r="F30" s="3">
        <v>0</v>
      </c>
      <c r="G30" s="68">
        <v>88518</v>
      </c>
      <c r="H30" s="68">
        <v>32462</v>
      </c>
      <c r="I30" s="3">
        <v>0</v>
      </c>
      <c r="J30" s="3">
        <v>586</v>
      </c>
      <c r="K30" s="3">
        <v>322779</v>
      </c>
      <c r="L30" s="3">
        <v>0</v>
      </c>
      <c r="M30" s="3">
        <v>18084</v>
      </c>
      <c r="N30" s="3">
        <v>7786</v>
      </c>
      <c r="O30" s="3">
        <v>0</v>
      </c>
      <c r="P30" s="3">
        <v>2973</v>
      </c>
      <c r="Q30" s="3">
        <v>18046</v>
      </c>
      <c r="R30" s="227">
        <f t="shared" si="2"/>
        <v>597705</v>
      </c>
      <c r="S30" s="5"/>
      <c r="T30" s="5"/>
      <c r="U30" s="5"/>
      <c r="V30" s="184"/>
      <c r="W30" s="184"/>
      <c r="X30" s="184"/>
      <c r="Y30" s="184"/>
      <c r="Z30" s="184"/>
      <c r="AA30" s="184"/>
      <c r="AB30" s="184"/>
      <c r="AC30" s="184"/>
      <c r="AD30" s="184"/>
      <c r="AE30" s="184"/>
      <c r="AF30" s="184"/>
      <c r="AG30" s="184"/>
      <c r="AH30" s="184"/>
      <c r="AI30" s="184"/>
      <c r="AJ30" s="184"/>
      <c r="AK30" s="187"/>
      <c r="AL30" s="188"/>
      <c r="AM30" s="186"/>
      <c r="AN30" s="183"/>
    </row>
    <row r="31" spans="2:40" s="185" customFormat="1" hidden="1" x14ac:dyDescent="0.2">
      <c r="B31" s="226">
        <v>40787</v>
      </c>
      <c r="C31" s="3">
        <v>39600</v>
      </c>
      <c r="D31" s="3">
        <v>8280</v>
      </c>
      <c r="E31" s="3">
        <v>58937</v>
      </c>
      <c r="F31" s="3">
        <v>0</v>
      </c>
      <c r="G31" s="68">
        <v>90001</v>
      </c>
      <c r="H31" s="68">
        <v>33152</v>
      </c>
      <c r="I31" s="3">
        <v>0</v>
      </c>
      <c r="J31" s="3">
        <v>590</v>
      </c>
      <c r="K31" s="3">
        <v>325673</v>
      </c>
      <c r="L31" s="3">
        <v>0</v>
      </c>
      <c r="M31" s="3">
        <v>18119</v>
      </c>
      <c r="N31" s="3">
        <v>7628</v>
      </c>
      <c r="O31" s="3">
        <v>0</v>
      </c>
      <c r="P31" s="3">
        <v>2774</v>
      </c>
      <c r="Q31" s="3">
        <v>18156</v>
      </c>
      <c r="R31" s="227">
        <f t="shared" si="2"/>
        <v>602910</v>
      </c>
      <c r="S31" s="5"/>
      <c r="T31" s="5"/>
      <c r="U31" s="5"/>
      <c r="V31" s="184"/>
      <c r="W31" s="184"/>
      <c r="X31" s="184"/>
      <c r="Y31" s="184"/>
      <c r="Z31" s="184"/>
      <c r="AA31" s="184"/>
      <c r="AB31" s="184"/>
      <c r="AC31" s="184"/>
      <c r="AD31" s="184"/>
      <c r="AE31" s="184"/>
      <c r="AF31" s="184"/>
      <c r="AG31" s="184"/>
      <c r="AH31" s="184"/>
      <c r="AI31" s="184"/>
      <c r="AJ31" s="184"/>
      <c r="AK31" s="187"/>
      <c r="AL31" s="188"/>
      <c r="AM31" s="186"/>
      <c r="AN31" s="183"/>
    </row>
    <row r="32" spans="2:40" s="185" customFormat="1" hidden="1" x14ac:dyDescent="0.2">
      <c r="B32" s="226">
        <v>40817</v>
      </c>
      <c r="C32" s="3">
        <v>39697</v>
      </c>
      <c r="D32" s="3">
        <v>8328</v>
      </c>
      <c r="E32" s="3">
        <v>59159</v>
      </c>
      <c r="F32" s="3">
        <v>0</v>
      </c>
      <c r="G32" s="68">
        <v>91662</v>
      </c>
      <c r="H32" s="68">
        <v>33838</v>
      </c>
      <c r="I32" s="3">
        <v>0</v>
      </c>
      <c r="J32" s="3">
        <v>592</v>
      </c>
      <c r="K32" s="3">
        <v>328632</v>
      </c>
      <c r="L32" s="3">
        <v>0</v>
      </c>
      <c r="M32" s="3">
        <v>18096</v>
      </c>
      <c r="N32" s="3">
        <v>7558</v>
      </c>
      <c r="O32" s="3">
        <v>0</v>
      </c>
      <c r="P32" s="3">
        <v>2657</v>
      </c>
      <c r="Q32" s="3">
        <v>18314</v>
      </c>
      <c r="R32" s="227">
        <f t="shared" si="2"/>
        <v>608533</v>
      </c>
      <c r="S32" s="5"/>
      <c r="T32" s="5"/>
      <c r="U32" s="5"/>
      <c r="V32" s="184"/>
      <c r="W32" s="184"/>
      <c r="X32" s="184"/>
      <c r="Y32" s="184"/>
      <c r="Z32" s="184"/>
      <c r="AA32" s="184"/>
      <c r="AB32" s="184"/>
      <c r="AC32" s="184"/>
      <c r="AD32" s="184"/>
      <c r="AE32" s="184"/>
      <c r="AF32" s="184"/>
      <c r="AG32" s="184"/>
      <c r="AH32" s="184"/>
      <c r="AI32" s="184"/>
      <c r="AJ32" s="184"/>
      <c r="AK32" s="187"/>
      <c r="AL32" s="188"/>
      <c r="AM32" s="186"/>
      <c r="AN32" s="183"/>
    </row>
    <row r="33" spans="1:40" s="185" customFormat="1" hidden="1" x14ac:dyDescent="0.2">
      <c r="B33" s="226">
        <v>40848</v>
      </c>
      <c r="C33" s="3">
        <v>39789</v>
      </c>
      <c r="D33" s="3">
        <v>8343</v>
      </c>
      <c r="E33" s="3">
        <v>59298</v>
      </c>
      <c r="F33" s="3">
        <v>0</v>
      </c>
      <c r="G33" s="68">
        <v>92441</v>
      </c>
      <c r="H33" s="68">
        <v>34915</v>
      </c>
      <c r="I33" s="3">
        <v>0</v>
      </c>
      <c r="J33" s="3">
        <v>602</v>
      </c>
      <c r="K33" s="3">
        <v>332183</v>
      </c>
      <c r="L33" s="3">
        <v>0</v>
      </c>
      <c r="M33" s="3">
        <v>18077</v>
      </c>
      <c r="N33" s="3">
        <v>7371</v>
      </c>
      <c r="O33" s="3">
        <v>0</v>
      </c>
      <c r="P33" s="3">
        <v>2543</v>
      </c>
      <c r="Q33" s="3">
        <v>18584</v>
      </c>
      <c r="R33" s="227">
        <f t="shared" si="2"/>
        <v>614146</v>
      </c>
      <c r="S33" s="5"/>
      <c r="T33" s="5"/>
      <c r="U33" s="5"/>
      <c r="V33" s="184"/>
      <c r="W33" s="184"/>
      <c r="X33" s="184"/>
      <c r="Y33" s="184"/>
      <c r="Z33" s="184"/>
      <c r="AA33" s="184"/>
      <c r="AB33" s="184"/>
      <c r="AC33" s="184"/>
      <c r="AD33" s="184"/>
      <c r="AE33" s="184"/>
      <c r="AF33" s="184"/>
      <c r="AG33" s="184"/>
      <c r="AH33" s="184"/>
      <c r="AI33" s="184"/>
      <c r="AJ33" s="184"/>
      <c r="AK33" s="187"/>
      <c r="AL33" s="188"/>
      <c r="AM33" s="186"/>
      <c r="AN33" s="183"/>
    </row>
    <row r="34" spans="1:40" s="185" customFormat="1" hidden="1" x14ac:dyDescent="0.2">
      <c r="B34" s="226">
        <v>40878</v>
      </c>
      <c r="C34" s="3">
        <v>39843</v>
      </c>
      <c r="D34" s="3">
        <v>8355</v>
      </c>
      <c r="E34" s="3">
        <v>59384</v>
      </c>
      <c r="F34" s="3">
        <v>0</v>
      </c>
      <c r="G34" s="68">
        <v>94778</v>
      </c>
      <c r="H34" s="68">
        <v>34886</v>
      </c>
      <c r="I34" s="3">
        <v>0</v>
      </c>
      <c r="J34" s="3">
        <v>606</v>
      </c>
      <c r="K34" s="3">
        <v>336053</v>
      </c>
      <c r="L34" s="3">
        <v>0</v>
      </c>
      <c r="M34" s="3">
        <v>18172</v>
      </c>
      <c r="N34" s="3">
        <v>7333</v>
      </c>
      <c r="O34" s="3">
        <v>0</v>
      </c>
      <c r="P34" s="3">
        <v>2591</v>
      </c>
      <c r="Q34" s="3">
        <v>18798</v>
      </c>
      <c r="R34" s="227">
        <f t="shared" si="2"/>
        <v>620799</v>
      </c>
      <c r="S34" s="5"/>
      <c r="T34" s="5"/>
      <c r="U34" s="5"/>
      <c r="V34" s="184"/>
      <c r="W34" s="184"/>
      <c r="X34" s="184"/>
      <c r="Y34" s="184"/>
      <c r="Z34" s="184"/>
      <c r="AA34" s="184"/>
      <c r="AB34" s="184"/>
      <c r="AC34" s="184"/>
      <c r="AD34" s="184"/>
      <c r="AE34" s="184"/>
      <c r="AF34" s="184"/>
      <c r="AG34" s="184"/>
      <c r="AH34" s="184"/>
      <c r="AI34" s="184"/>
      <c r="AJ34" s="184"/>
      <c r="AK34" s="187"/>
      <c r="AL34" s="188"/>
      <c r="AM34" s="186"/>
      <c r="AN34" s="183"/>
    </row>
    <row r="35" spans="1:40" s="185" customFormat="1" hidden="1" x14ac:dyDescent="0.2">
      <c r="B35" s="226">
        <v>40909</v>
      </c>
      <c r="C35" s="3">
        <v>39742</v>
      </c>
      <c r="D35" s="3">
        <v>8373</v>
      </c>
      <c r="E35" s="3">
        <v>59709</v>
      </c>
      <c r="F35" s="3">
        <v>0</v>
      </c>
      <c r="G35" s="68">
        <v>93523</v>
      </c>
      <c r="H35" s="68">
        <v>35481</v>
      </c>
      <c r="I35" s="3">
        <v>0</v>
      </c>
      <c r="J35" s="3">
        <v>603</v>
      </c>
      <c r="K35" s="3">
        <v>336096</v>
      </c>
      <c r="L35" s="3">
        <v>0</v>
      </c>
      <c r="M35" s="3">
        <v>17968</v>
      </c>
      <c r="N35" s="3">
        <v>7445</v>
      </c>
      <c r="O35" s="3">
        <v>0</v>
      </c>
      <c r="P35" s="3">
        <v>2617</v>
      </c>
      <c r="Q35" s="3">
        <v>18985</v>
      </c>
      <c r="R35" s="227">
        <f t="shared" si="2"/>
        <v>620542</v>
      </c>
      <c r="S35" s="5"/>
      <c r="T35" s="5"/>
      <c r="U35" s="5"/>
      <c r="V35" s="184"/>
      <c r="W35" s="184"/>
      <c r="X35" s="184"/>
      <c r="Y35" s="184"/>
      <c r="Z35" s="184"/>
      <c r="AA35" s="184"/>
      <c r="AB35" s="184"/>
      <c r="AC35" s="184"/>
      <c r="AD35" s="184"/>
      <c r="AE35" s="184"/>
      <c r="AF35" s="184"/>
      <c r="AG35" s="184"/>
      <c r="AH35" s="184"/>
      <c r="AI35" s="184"/>
      <c r="AJ35" s="184"/>
      <c r="AK35" s="187"/>
      <c r="AL35" s="188"/>
      <c r="AM35" s="186"/>
      <c r="AN35" s="183"/>
    </row>
    <row r="36" spans="1:40" s="185" customFormat="1" hidden="1" x14ac:dyDescent="0.2">
      <c r="B36" s="226">
        <v>40940</v>
      </c>
      <c r="C36" s="3">
        <v>39800</v>
      </c>
      <c r="D36" s="3">
        <v>8401</v>
      </c>
      <c r="E36" s="3">
        <v>59635</v>
      </c>
      <c r="F36" s="3">
        <v>0</v>
      </c>
      <c r="G36" s="68">
        <v>94868</v>
      </c>
      <c r="H36" s="68">
        <v>35962</v>
      </c>
      <c r="I36" s="3">
        <v>0</v>
      </c>
      <c r="J36" s="3">
        <v>604</v>
      </c>
      <c r="K36" s="3">
        <v>339523</v>
      </c>
      <c r="L36" s="3">
        <v>0</v>
      </c>
      <c r="M36" s="3">
        <v>17863</v>
      </c>
      <c r="N36" s="3">
        <v>7594</v>
      </c>
      <c r="O36" s="3">
        <v>0</v>
      </c>
      <c r="P36" s="3">
        <v>2636</v>
      </c>
      <c r="Q36" s="3">
        <v>19220</v>
      </c>
      <c r="R36" s="227">
        <f t="shared" si="2"/>
        <v>626106</v>
      </c>
      <c r="S36" s="5"/>
      <c r="T36" s="5"/>
      <c r="U36" s="5"/>
      <c r="V36" s="184"/>
      <c r="W36" s="184"/>
      <c r="X36" s="184"/>
      <c r="Y36" s="184"/>
      <c r="Z36" s="184"/>
      <c r="AA36" s="184"/>
      <c r="AB36" s="184"/>
      <c r="AC36" s="184"/>
      <c r="AD36" s="184"/>
      <c r="AE36" s="184"/>
      <c r="AF36" s="184"/>
      <c r="AG36" s="184"/>
      <c r="AH36" s="184"/>
      <c r="AI36" s="184"/>
      <c r="AJ36" s="184"/>
      <c r="AK36" s="187"/>
      <c r="AL36" s="188"/>
      <c r="AM36" s="186"/>
      <c r="AN36" s="183"/>
    </row>
    <row r="37" spans="1:40" s="185" customFormat="1" hidden="1" x14ac:dyDescent="0.2">
      <c r="B37" s="226">
        <v>40969</v>
      </c>
      <c r="C37" s="3">
        <v>39849</v>
      </c>
      <c r="D37" s="3">
        <v>8445</v>
      </c>
      <c r="E37" s="3">
        <v>59847</v>
      </c>
      <c r="F37" s="3">
        <v>51</v>
      </c>
      <c r="G37" s="68">
        <v>97318</v>
      </c>
      <c r="H37" s="68">
        <v>37141</v>
      </c>
      <c r="I37" s="3">
        <v>0</v>
      </c>
      <c r="J37" s="3">
        <v>604</v>
      </c>
      <c r="K37" s="3">
        <v>341274</v>
      </c>
      <c r="L37" s="3">
        <v>0</v>
      </c>
      <c r="M37" s="3">
        <v>17930</v>
      </c>
      <c r="N37" s="3">
        <v>7734</v>
      </c>
      <c r="O37" s="3">
        <v>0</v>
      </c>
      <c r="P37" s="3">
        <v>2852</v>
      </c>
      <c r="Q37" s="3">
        <v>19466</v>
      </c>
      <c r="R37" s="227">
        <f t="shared" si="2"/>
        <v>632511</v>
      </c>
      <c r="S37" s="5"/>
      <c r="T37" s="5"/>
      <c r="U37" s="5"/>
      <c r="V37" s="184"/>
      <c r="W37" s="184"/>
      <c r="X37" s="184"/>
      <c r="Y37" s="184"/>
      <c r="Z37" s="184"/>
      <c r="AA37" s="184"/>
      <c r="AB37" s="184"/>
      <c r="AC37" s="184"/>
      <c r="AD37" s="184"/>
      <c r="AE37" s="184"/>
      <c r="AF37" s="184"/>
      <c r="AG37" s="184"/>
      <c r="AH37" s="184"/>
      <c r="AI37" s="184"/>
      <c r="AJ37" s="184"/>
      <c r="AK37" s="187"/>
      <c r="AL37" s="188"/>
      <c r="AM37" s="186"/>
      <c r="AN37" s="183"/>
    </row>
    <row r="38" spans="1:40" s="185" customFormat="1" hidden="1" x14ac:dyDescent="0.2">
      <c r="B38" s="226">
        <v>41000</v>
      </c>
      <c r="C38" s="3">
        <v>39837</v>
      </c>
      <c r="D38" s="3">
        <v>8507</v>
      </c>
      <c r="E38" s="3">
        <v>59970</v>
      </c>
      <c r="F38" s="3">
        <v>133</v>
      </c>
      <c r="G38" s="68">
        <v>94317</v>
      </c>
      <c r="H38" s="68">
        <v>37902</v>
      </c>
      <c r="I38" s="3">
        <v>0</v>
      </c>
      <c r="J38" s="3">
        <v>596</v>
      </c>
      <c r="K38" s="3">
        <v>341546</v>
      </c>
      <c r="L38" s="3">
        <v>0</v>
      </c>
      <c r="M38" s="3">
        <v>17944</v>
      </c>
      <c r="N38" s="3">
        <v>7705</v>
      </c>
      <c r="O38" s="3">
        <v>0</v>
      </c>
      <c r="P38" s="3">
        <v>2846</v>
      </c>
      <c r="Q38" s="3">
        <v>19396</v>
      </c>
      <c r="R38" s="227">
        <f t="shared" si="2"/>
        <v>630699</v>
      </c>
      <c r="S38" s="5"/>
      <c r="T38" s="5"/>
      <c r="U38" s="5"/>
      <c r="V38" s="184"/>
      <c r="W38" s="184"/>
      <c r="X38" s="184"/>
      <c r="Y38" s="184"/>
      <c r="Z38" s="184"/>
      <c r="AA38" s="184"/>
      <c r="AB38" s="184"/>
      <c r="AC38" s="184"/>
      <c r="AD38" s="184"/>
      <c r="AE38" s="184"/>
      <c r="AF38" s="184"/>
      <c r="AG38" s="184"/>
      <c r="AH38" s="184"/>
      <c r="AI38" s="184"/>
      <c r="AJ38" s="184"/>
      <c r="AK38" s="187"/>
      <c r="AL38" s="188"/>
      <c r="AM38" s="186"/>
      <c r="AN38" s="183"/>
    </row>
    <row r="39" spans="1:40" s="185" customFormat="1" hidden="1" x14ac:dyDescent="0.2">
      <c r="B39" s="226">
        <v>41030</v>
      </c>
      <c r="C39" s="3">
        <v>39924</v>
      </c>
      <c r="D39" s="3">
        <v>8600</v>
      </c>
      <c r="E39" s="3">
        <v>60167</v>
      </c>
      <c r="F39" s="3">
        <v>202</v>
      </c>
      <c r="G39" s="68">
        <v>95581</v>
      </c>
      <c r="H39" s="68">
        <v>38955</v>
      </c>
      <c r="I39" s="3">
        <v>5860</v>
      </c>
      <c r="J39" s="3">
        <v>597</v>
      </c>
      <c r="K39" s="3">
        <v>344523</v>
      </c>
      <c r="L39" s="3">
        <v>0</v>
      </c>
      <c r="M39" s="3">
        <v>18012</v>
      </c>
      <c r="N39" s="3">
        <v>7744</v>
      </c>
      <c r="O39" s="3">
        <v>0</v>
      </c>
      <c r="P39" s="3">
        <v>2844</v>
      </c>
      <c r="Q39" s="3">
        <v>19640</v>
      </c>
      <c r="R39" s="227">
        <f t="shared" si="2"/>
        <v>642649</v>
      </c>
      <c r="S39" s="5"/>
      <c r="T39" s="5"/>
      <c r="U39" s="5"/>
      <c r="V39" s="184"/>
      <c r="W39" s="184"/>
      <c r="X39" s="184"/>
      <c r="Y39" s="184"/>
      <c r="Z39" s="184"/>
      <c r="AA39" s="184"/>
      <c r="AB39" s="184"/>
      <c r="AC39" s="184"/>
      <c r="AD39" s="184"/>
      <c r="AE39" s="184"/>
      <c r="AF39" s="184"/>
      <c r="AG39" s="184"/>
      <c r="AH39" s="184"/>
      <c r="AI39" s="184"/>
      <c r="AJ39" s="184"/>
      <c r="AK39" s="187"/>
      <c r="AL39" s="188"/>
      <c r="AM39" s="186"/>
      <c r="AN39" s="183"/>
    </row>
    <row r="40" spans="1:40" s="185" customFormat="1" hidden="1" x14ac:dyDescent="0.2">
      <c r="B40" s="226">
        <v>41061</v>
      </c>
      <c r="C40" s="3">
        <v>39923</v>
      </c>
      <c r="D40" s="3">
        <v>8605</v>
      </c>
      <c r="E40" s="3">
        <v>60091</v>
      </c>
      <c r="F40" s="3">
        <v>240</v>
      </c>
      <c r="G40" s="68">
        <v>98120</v>
      </c>
      <c r="H40" s="68">
        <v>38921</v>
      </c>
      <c r="I40" s="3">
        <v>7753</v>
      </c>
      <c r="J40" s="3">
        <v>601</v>
      </c>
      <c r="K40" s="3">
        <v>348253</v>
      </c>
      <c r="L40" s="3">
        <v>0</v>
      </c>
      <c r="M40" s="3">
        <v>18022</v>
      </c>
      <c r="N40" s="3">
        <v>7846</v>
      </c>
      <c r="O40" s="3">
        <v>0</v>
      </c>
      <c r="P40" s="3">
        <v>2818</v>
      </c>
      <c r="Q40" s="3">
        <v>19929</v>
      </c>
      <c r="R40" s="227">
        <f t="shared" si="2"/>
        <v>651122</v>
      </c>
      <c r="S40" s="5"/>
      <c r="T40" s="5"/>
      <c r="U40" s="5"/>
      <c r="V40" s="184"/>
      <c r="W40" s="184"/>
      <c r="X40" s="184"/>
      <c r="Y40" s="184"/>
      <c r="Z40" s="184"/>
      <c r="AA40" s="184"/>
      <c r="AB40" s="184"/>
      <c r="AC40" s="184"/>
      <c r="AD40" s="184"/>
      <c r="AE40" s="184"/>
      <c r="AF40" s="184"/>
      <c r="AG40" s="184"/>
      <c r="AH40" s="184"/>
      <c r="AI40" s="184"/>
      <c r="AJ40" s="184"/>
      <c r="AK40" s="187"/>
      <c r="AL40" s="188"/>
      <c r="AM40" s="186"/>
      <c r="AN40" s="183"/>
    </row>
    <row r="41" spans="1:40" s="190" customFormat="1" hidden="1" x14ac:dyDescent="0.2">
      <c r="B41" s="230" t="s">
        <v>118</v>
      </c>
      <c r="C41" s="8">
        <f>ROUND(AVERAGE(C29:C40),0)</f>
        <v>39740</v>
      </c>
      <c r="D41" s="8">
        <f t="shared" ref="D41:Q41" si="4">ROUND(AVERAGE(D29:D40),0)</f>
        <v>8383</v>
      </c>
      <c r="E41" s="8">
        <f t="shared" si="4"/>
        <v>59434</v>
      </c>
      <c r="F41" s="8">
        <f t="shared" si="4"/>
        <v>52</v>
      </c>
      <c r="G41" s="8">
        <f t="shared" si="4"/>
        <v>93224</v>
      </c>
      <c r="H41" s="8">
        <f t="shared" si="4"/>
        <v>35461</v>
      </c>
      <c r="I41" s="8">
        <f>ROUND(AVERAGE(I29:I40),0)</f>
        <v>1134</v>
      </c>
      <c r="J41" s="8">
        <f>ROUND(AVERAGE(J29:J40),0)</f>
        <v>597</v>
      </c>
      <c r="K41" s="8">
        <f>ROUND(AVERAGE(K29:K40),0)</f>
        <v>334633</v>
      </c>
      <c r="L41" s="8">
        <f t="shared" si="4"/>
        <v>0</v>
      </c>
      <c r="M41" s="8">
        <f t="shared" si="4"/>
        <v>18034</v>
      </c>
      <c r="N41" s="8">
        <f t="shared" si="4"/>
        <v>7630</v>
      </c>
      <c r="O41" s="8">
        <f t="shared" si="4"/>
        <v>0</v>
      </c>
      <c r="P41" s="8">
        <f t="shared" si="4"/>
        <v>2770</v>
      </c>
      <c r="Q41" s="8">
        <f t="shared" si="4"/>
        <v>18871</v>
      </c>
      <c r="R41" s="231">
        <f t="shared" ref="R41:R67" si="5">SUM(C41:Q41)</f>
        <v>619963</v>
      </c>
      <c r="S41" s="5"/>
      <c r="T41" s="5"/>
      <c r="U41" s="5"/>
      <c r="V41" s="189"/>
      <c r="W41" s="189"/>
      <c r="X41" s="189"/>
      <c r="Y41" s="189"/>
      <c r="Z41" s="189"/>
      <c r="AA41" s="189"/>
      <c r="AB41" s="189"/>
      <c r="AC41" s="189"/>
      <c r="AD41" s="189"/>
      <c r="AE41" s="189"/>
      <c r="AF41" s="189"/>
      <c r="AG41" s="189"/>
      <c r="AH41" s="189"/>
      <c r="AI41" s="189"/>
      <c r="AJ41" s="189"/>
      <c r="AM41" s="191"/>
      <c r="AN41" s="183"/>
    </row>
    <row r="42" spans="1:40" s="185" customFormat="1" hidden="1" x14ac:dyDescent="0.2">
      <c r="A42" s="364">
        <f>IF(C42="",0,1)</f>
        <v>1</v>
      </c>
      <c r="B42" s="226">
        <v>41091</v>
      </c>
      <c r="C42" s="3">
        <v>40117</v>
      </c>
      <c r="D42" s="3">
        <v>8689</v>
      </c>
      <c r="E42" s="3">
        <v>60389</v>
      </c>
      <c r="F42" s="3">
        <v>338</v>
      </c>
      <c r="G42" s="68">
        <v>93088</v>
      </c>
      <c r="H42" s="68">
        <v>38961</v>
      </c>
      <c r="I42" s="3">
        <v>9652</v>
      </c>
      <c r="J42" s="3">
        <v>607</v>
      </c>
      <c r="K42" s="3">
        <v>348510</v>
      </c>
      <c r="L42" s="3">
        <v>0</v>
      </c>
      <c r="M42" s="3">
        <v>17959</v>
      </c>
      <c r="N42" s="3">
        <v>7824</v>
      </c>
      <c r="O42" s="3">
        <v>0</v>
      </c>
      <c r="P42" s="3">
        <v>2764</v>
      </c>
      <c r="Q42" s="3">
        <v>20117</v>
      </c>
      <c r="R42" s="227">
        <f t="shared" si="5"/>
        <v>649015</v>
      </c>
      <c r="S42" s="5"/>
      <c r="T42" s="5"/>
      <c r="U42" s="5"/>
      <c r="V42" s="184"/>
      <c r="W42" s="184"/>
      <c r="X42" s="184"/>
      <c r="Y42" s="184"/>
      <c r="Z42" s="184"/>
      <c r="AA42" s="184"/>
      <c r="AB42" s="184"/>
      <c r="AC42" s="184"/>
      <c r="AD42" s="184"/>
      <c r="AE42" s="184"/>
      <c r="AF42" s="184"/>
      <c r="AG42" s="184"/>
      <c r="AH42" s="184"/>
      <c r="AI42" s="184"/>
      <c r="AJ42" s="184"/>
      <c r="AK42" s="187"/>
      <c r="AL42" s="188"/>
      <c r="AM42" s="186"/>
      <c r="AN42" s="183"/>
    </row>
    <row r="43" spans="1:40" s="185" customFormat="1" hidden="1" x14ac:dyDescent="0.2">
      <c r="A43" s="364">
        <f t="shared" ref="A43:A106" si="6">IF(C43="",0,1)</f>
        <v>1</v>
      </c>
      <c r="B43" s="226">
        <v>41122</v>
      </c>
      <c r="C43" s="3">
        <v>40460</v>
      </c>
      <c r="D43" s="3">
        <v>8771</v>
      </c>
      <c r="E43" s="3">
        <v>60680</v>
      </c>
      <c r="F43" s="3">
        <v>445</v>
      </c>
      <c r="G43" s="68">
        <v>94777</v>
      </c>
      <c r="H43" s="68">
        <v>39881</v>
      </c>
      <c r="I43" s="3">
        <v>9675</v>
      </c>
      <c r="J43" s="3">
        <v>612</v>
      </c>
      <c r="K43" s="3">
        <v>351537</v>
      </c>
      <c r="L43" s="3">
        <v>0</v>
      </c>
      <c r="M43" s="3">
        <v>17932</v>
      </c>
      <c r="N43" s="3">
        <v>7864</v>
      </c>
      <c r="O43" s="3">
        <v>0</v>
      </c>
      <c r="P43" s="3">
        <v>2744</v>
      </c>
      <c r="Q43" s="3">
        <v>20418</v>
      </c>
      <c r="R43" s="227">
        <f t="shared" si="5"/>
        <v>655796</v>
      </c>
      <c r="S43" s="5"/>
      <c r="T43" s="5"/>
      <c r="U43" s="5"/>
      <c r="V43" s="184"/>
      <c r="W43" s="184"/>
      <c r="X43" s="184"/>
      <c r="Y43" s="184"/>
      <c r="Z43" s="184"/>
      <c r="AA43" s="184"/>
      <c r="AB43" s="184"/>
      <c r="AC43" s="184"/>
      <c r="AD43" s="184"/>
      <c r="AE43" s="184"/>
      <c r="AF43" s="184"/>
      <c r="AG43" s="184"/>
      <c r="AH43" s="184"/>
      <c r="AI43" s="184"/>
      <c r="AJ43" s="184"/>
      <c r="AK43" s="187"/>
      <c r="AL43" s="188"/>
      <c r="AM43" s="186"/>
      <c r="AN43" s="183"/>
    </row>
    <row r="44" spans="1:40" s="185" customFormat="1" hidden="1" x14ac:dyDescent="0.2">
      <c r="A44" s="364">
        <f t="shared" si="6"/>
        <v>1</v>
      </c>
      <c r="B44" s="226">
        <v>41153</v>
      </c>
      <c r="C44" s="3">
        <v>40468</v>
      </c>
      <c r="D44" s="3">
        <v>8877</v>
      </c>
      <c r="E44" s="3">
        <v>60934</v>
      </c>
      <c r="F44" s="3">
        <v>539</v>
      </c>
      <c r="G44" s="68">
        <v>95151</v>
      </c>
      <c r="H44" s="68">
        <v>39689</v>
      </c>
      <c r="I44" s="3">
        <v>9880</v>
      </c>
      <c r="J44" s="3">
        <v>610</v>
      </c>
      <c r="K44" s="3">
        <v>355312</v>
      </c>
      <c r="L44" s="3">
        <v>0</v>
      </c>
      <c r="M44" s="3">
        <v>18004</v>
      </c>
      <c r="N44" s="3">
        <v>7677</v>
      </c>
      <c r="O44" s="3">
        <v>0</v>
      </c>
      <c r="P44" s="3">
        <v>2609</v>
      </c>
      <c r="Q44" s="3">
        <v>20615</v>
      </c>
      <c r="R44" s="227">
        <f t="shared" si="5"/>
        <v>660365</v>
      </c>
      <c r="S44" s="5"/>
      <c r="T44" s="5"/>
      <c r="U44" s="5"/>
      <c r="V44" s="184"/>
      <c r="W44" s="184"/>
      <c r="X44" s="184"/>
      <c r="Y44" s="184"/>
      <c r="Z44" s="184"/>
      <c r="AA44" s="184"/>
      <c r="AB44" s="184"/>
      <c r="AC44" s="184"/>
      <c r="AD44" s="184"/>
      <c r="AE44" s="184"/>
      <c r="AF44" s="184"/>
      <c r="AG44" s="184"/>
      <c r="AH44" s="184"/>
      <c r="AI44" s="184"/>
      <c r="AJ44" s="184"/>
      <c r="AK44" s="187"/>
      <c r="AL44" s="188"/>
      <c r="AM44" s="186"/>
      <c r="AN44" s="183"/>
    </row>
    <row r="45" spans="1:40" s="185" customFormat="1" hidden="1" x14ac:dyDescent="0.2">
      <c r="A45" s="364">
        <f t="shared" si="6"/>
        <v>1</v>
      </c>
      <c r="B45" s="226">
        <v>41183</v>
      </c>
      <c r="C45" s="3">
        <v>40773</v>
      </c>
      <c r="D45" s="3">
        <v>8949</v>
      </c>
      <c r="E45" s="3">
        <v>61303</v>
      </c>
      <c r="F45" s="3">
        <v>640</v>
      </c>
      <c r="G45" s="68">
        <v>96113</v>
      </c>
      <c r="H45" s="68">
        <v>40302</v>
      </c>
      <c r="I45" s="3">
        <v>9969</v>
      </c>
      <c r="J45" s="3">
        <v>615</v>
      </c>
      <c r="K45" s="3">
        <v>353524</v>
      </c>
      <c r="L45" s="3">
        <v>0</v>
      </c>
      <c r="M45" s="3">
        <v>18000</v>
      </c>
      <c r="N45" s="3">
        <v>7691</v>
      </c>
      <c r="O45" s="3">
        <v>0</v>
      </c>
      <c r="P45" s="3">
        <v>2569</v>
      </c>
      <c r="Q45" s="3">
        <v>20766</v>
      </c>
      <c r="R45" s="227">
        <f t="shared" si="5"/>
        <v>661214</v>
      </c>
      <c r="S45" s="5"/>
      <c r="T45" s="5"/>
      <c r="U45" s="5"/>
      <c r="V45" s="184"/>
      <c r="W45" s="184"/>
      <c r="X45" s="184"/>
      <c r="Y45" s="184"/>
      <c r="Z45" s="184"/>
      <c r="AA45" s="184"/>
      <c r="AB45" s="184"/>
      <c r="AC45" s="184"/>
      <c r="AD45" s="184"/>
      <c r="AE45" s="184"/>
      <c r="AF45" s="184"/>
      <c r="AG45" s="184"/>
      <c r="AH45" s="184"/>
      <c r="AI45" s="184"/>
      <c r="AJ45" s="184"/>
      <c r="AK45" s="187"/>
      <c r="AL45" s="188"/>
      <c r="AM45" s="186"/>
      <c r="AN45" s="183"/>
    </row>
    <row r="46" spans="1:40" s="185" customFormat="1" hidden="1" x14ac:dyDescent="0.2">
      <c r="A46" s="364">
        <f t="shared" si="6"/>
        <v>1</v>
      </c>
      <c r="B46" s="226">
        <v>41214</v>
      </c>
      <c r="C46" s="3">
        <v>41059</v>
      </c>
      <c r="D46" s="3">
        <v>8997</v>
      </c>
      <c r="E46" s="3">
        <v>61571</v>
      </c>
      <c r="F46" s="3">
        <v>753</v>
      </c>
      <c r="G46" s="68">
        <v>98333</v>
      </c>
      <c r="H46" s="68">
        <v>41895</v>
      </c>
      <c r="I46" s="3">
        <v>9972</v>
      </c>
      <c r="J46" s="3">
        <v>615</v>
      </c>
      <c r="K46" s="3">
        <v>356897</v>
      </c>
      <c r="L46" s="3">
        <v>0</v>
      </c>
      <c r="M46" s="3">
        <v>17967</v>
      </c>
      <c r="N46" s="3">
        <v>7600</v>
      </c>
      <c r="O46" s="3">
        <v>0</v>
      </c>
      <c r="P46" s="3">
        <v>2546</v>
      </c>
      <c r="Q46" s="3">
        <v>20998</v>
      </c>
      <c r="R46" s="227">
        <f t="shared" si="5"/>
        <v>669203</v>
      </c>
      <c r="S46" s="5"/>
      <c r="T46" s="5"/>
      <c r="U46" s="5"/>
      <c r="V46" s="184"/>
      <c r="W46" s="184"/>
      <c r="X46" s="184"/>
      <c r="Y46" s="184"/>
      <c r="Z46" s="184"/>
      <c r="AA46" s="184"/>
      <c r="AB46" s="184"/>
      <c r="AC46" s="184"/>
      <c r="AD46" s="184"/>
      <c r="AE46" s="184"/>
      <c r="AF46" s="184"/>
      <c r="AG46" s="184"/>
      <c r="AH46" s="184"/>
      <c r="AI46" s="184"/>
      <c r="AJ46" s="184"/>
      <c r="AK46" s="187"/>
      <c r="AL46" s="188"/>
      <c r="AM46" s="186"/>
      <c r="AN46" s="183"/>
    </row>
    <row r="47" spans="1:40" s="185" customFormat="1" hidden="1" x14ac:dyDescent="0.2">
      <c r="A47" s="364">
        <f t="shared" si="6"/>
        <v>1</v>
      </c>
      <c r="B47" s="226">
        <v>41244</v>
      </c>
      <c r="C47" s="3">
        <v>41034</v>
      </c>
      <c r="D47" s="3">
        <v>9077</v>
      </c>
      <c r="E47" s="3">
        <v>61699</v>
      </c>
      <c r="F47" s="3">
        <v>857</v>
      </c>
      <c r="G47" s="68">
        <v>97784</v>
      </c>
      <c r="H47" s="68">
        <v>40442</v>
      </c>
      <c r="I47" s="3">
        <v>9798</v>
      </c>
      <c r="J47" s="3">
        <v>616</v>
      </c>
      <c r="K47" s="3">
        <v>361446</v>
      </c>
      <c r="L47" s="3">
        <v>0</v>
      </c>
      <c r="M47" s="3">
        <v>17898</v>
      </c>
      <c r="N47" s="3">
        <v>7466</v>
      </c>
      <c r="O47" s="3">
        <v>0</v>
      </c>
      <c r="P47" s="3">
        <v>2541</v>
      </c>
      <c r="Q47" s="3">
        <v>21221</v>
      </c>
      <c r="R47" s="227">
        <f t="shared" si="5"/>
        <v>671879</v>
      </c>
      <c r="S47" s="5"/>
      <c r="T47" s="5"/>
      <c r="U47" s="5"/>
      <c r="V47" s="184"/>
      <c r="W47" s="184"/>
      <c r="X47" s="184"/>
      <c r="Y47" s="184"/>
      <c r="Z47" s="184"/>
      <c r="AA47" s="184"/>
      <c r="AB47" s="184"/>
      <c r="AC47" s="184"/>
      <c r="AD47" s="184"/>
      <c r="AE47" s="184"/>
      <c r="AF47" s="184"/>
      <c r="AG47" s="184"/>
      <c r="AH47" s="184"/>
      <c r="AI47" s="184"/>
      <c r="AJ47" s="184"/>
      <c r="AK47" s="187"/>
      <c r="AL47" s="188"/>
      <c r="AM47" s="468"/>
      <c r="AN47" s="183"/>
    </row>
    <row r="48" spans="1:40" s="185" customFormat="1" hidden="1" x14ac:dyDescent="0.2">
      <c r="A48" s="364">
        <f t="shared" si="6"/>
        <v>1</v>
      </c>
      <c r="B48" s="226">
        <v>41275</v>
      </c>
      <c r="C48" s="3">
        <v>41066</v>
      </c>
      <c r="D48" s="3">
        <v>9096</v>
      </c>
      <c r="E48" s="3">
        <v>61803</v>
      </c>
      <c r="F48" s="3">
        <v>988</v>
      </c>
      <c r="G48" s="68">
        <v>99404</v>
      </c>
      <c r="H48" s="68">
        <v>40895</v>
      </c>
      <c r="I48" s="3">
        <v>9777</v>
      </c>
      <c r="J48" s="3">
        <v>613</v>
      </c>
      <c r="K48" s="68">
        <v>361220</v>
      </c>
      <c r="L48" s="68">
        <v>5223</v>
      </c>
      <c r="M48" s="3">
        <v>17720</v>
      </c>
      <c r="N48" s="68">
        <v>8250</v>
      </c>
      <c r="O48" s="68">
        <v>437</v>
      </c>
      <c r="P48" s="3">
        <v>2655</v>
      </c>
      <c r="Q48" s="3">
        <v>21366</v>
      </c>
      <c r="R48" s="227">
        <f t="shared" si="5"/>
        <v>680513</v>
      </c>
      <c r="S48" s="5"/>
      <c r="T48" s="5"/>
      <c r="U48" s="5"/>
      <c r="V48" s="184"/>
      <c r="W48" s="184"/>
      <c r="X48" s="184"/>
      <c r="Y48" s="184"/>
      <c r="Z48" s="184"/>
      <c r="AA48" s="184"/>
      <c r="AB48" s="184"/>
      <c r="AC48" s="184"/>
      <c r="AD48" s="184"/>
      <c r="AE48" s="184"/>
      <c r="AF48" s="184"/>
      <c r="AG48" s="184"/>
      <c r="AH48" s="184"/>
      <c r="AI48" s="184"/>
      <c r="AJ48" s="184"/>
      <c r="AK48" s="187"/>
      <c r="AL48" s="188"/>
      <c r="AM48" s="468"/>
      <c r="AN48" s="183"/>
    </row>
    <row r="49" spans="1:40" s="185" customFormat="1" hidden="1" x14ac:dyDescent="0.2">
      <c r="A49" s="364">
        <f t="shared" si="6"/>
        <v>1</v>
      </c>
      <c r="B49" s="226">
        <v>41306</v>
      </c>
      <c r="C49" s="3">
        <v>41093</v>
      </c>
      <c r="D49" s="3">
        <v>9152</v>
      </c>
      <c r="E49" s="3">
        <v>62245</v>
      </c>
      <c r="F49" s="3">
        <v>1056</v>
      </c>
      <c r="G49" s="68">
        <v>101305</v>
      </c>
      <c r="H49" s="68">
        <v>42236</v>
      </c>
      <c r="I49" s="3">
        <v>9959</v>
      </c>
      <c r="J49" s="3">
        <v>608</v>
      </c>
      <c r="K49" s="68">
        <v>362024</v>
      </c>
      <c r="L49" s="68">
        <v>13463</v>
      </c>
      <c r="M49" s="3">
        <v>17673</v>
      </c>
      <c r="N49" s="68">
        <v>8322</v>
      </c>
      <c r="O49" s="68">
        <v>531</v>
      </c>
      <c r="P49" s="3">
        <v>2666</v>
      </c>
      <c r="Q49" s="3">
        <v>21532</v>
      </c>
      <c r="R49" s="227">
        <f t="shared" si="5"/>
        <v>693865</v>
      </c>
      <c r="S49" s="5"/>
      <c r="T49" s="5"/>
      <c r="U49" s="5"/>
      <c r="V49" s="184"/>
      <c r="W49" s="184"/>
      <c r="X49" s="184"/>
      <c r="Y49" s="184"/>
      <c r="Z49" s="184"/>
      <c r="AA49" s="184"/>
      <c r="AB49" s="184"/>
      <c r="AC49" s="184"/>
      <c r="AD49" s="184"/>
      <c r="AE49" s="184"/>
      <c r="AF49" s="184"/>
      <c r="AG49" s="184"/>
      <c r="AH49" s="184"/>
      <c r="AI49" s="184"/>
      <c r="AJ49" s="184"/>
      <c r="AK49" s="187"/>
      <c r="AL49" s="188"/>
      <c r="AM49" s="468"/>
      <c r="AN49" s="183"/>
    </row>
    <row r="50" spans="1:40" s="185" customFormat="1" hidden="1" x14ac:dyDescent="0.2">
      <c r="A50" s="364">
        <f t="shared" si="6"/>
        <v>1</v>
      </c>
      <c r="B50" s="226">
        <v>41334</v>
      </c>
      <c r="C50" s="3">
        <v>40697</v>
      </c>
      <c r="D50" s="3">
        <v>9130</v>
      </c>
      <c r="E50" s="3">
        <v>62485</v>
      </c>
      <c r="F50" s="3">
        <v>1125</v>
      </c>
      <c r="G50" s="68">
        <v>100247</v>
      </c>
      <c r="H50" s="68">
        <v>42110</v>
      </c>
      <c r="I50" s="3">
        <v>9621</v>
      </c>
      <c r="J50" s="3">
        <v>618</v>
      </c>
      <c r="K50" s="68">
        <v>363012</v>
      </c>
      <c r="L50" s="68">
        <v>18263</v>
      </c>
      <c r="M50" s="3">
        <v>17619</v>
      </c>
      <c r="N50" s="68">
        <v>8311</v>
      </c>
      <c r="O50" s="68">
        <v>636</v>
      </c>
      <c r="P50" s="3">
        <v>2733</v>
      </c>
      <c r="Q50" s="3">
        <v>21530</v>
      </c>
      <c r="R50" s="227">
        <f t="shared" si="5"/>
        <v>698137</v>
      </c>
      <c r="S50" s="5"/>
      <c r="T50" s="5"/>
      <c r="U50" s="5"/>
      <c r="V50" s="184"/>
      <c r="W50" s="184"/>
      <c r="X50" s="184"/>
      <c r="Y50" s="184"/>
      <c r="Z50" s="184"/>
      <c r="AA50" s="184"/>
      <c r="AB50" s="184"/>
      <c r="AC50" s="184"/>
      <c r="AD50" s="184"/>
      <c r="AE50" s="184"/>
      <c r="AF50" s="184"/>
      <c r="AG50" s="184"/>
      <c r="AH50" s="184"/>
      <c r="AI50" s="184"/>
      <c r="AJ50" s="184"/>
      <c r="AK50" s="187"/>
      <c r="AL50" s="188"/>
      <c r="AM50" s="468"/>
      <c r="AN50" s="183"/>
    </row>
    <row r="51" spans="1:40" s="185" customFormat="1" hidden="1" x14ac:dyDescent="0.2">
      <c r="A51" s="364">
        <f t="shared" si="6"/>
        <v>1</v>
      </c>
      <c r="B51" s="226">
        <v>41365</v>
      </c>
      <c r="C51" s="3">
        <v>40898</v>
      </c>
      <c r="D51" s="3">
        <v>9222</v>
      </c>
      <c r="E51" s="3">
        <v>62976</v>
      </c>
      <c r="F51" s="3">
        <v>1232</v>
      </c>
      <c r="G51" s="68">
        <v>101576</v>
      </c>
      <c r="H51" s="68">
        <v>42997</v>
      </c>
      <c r="I51" s="3">
        <v>12076</v>
      </c>
      <c r="J51" s="3">
        <v>639</v>
      </c>
      <c r="K51" s="68">
        <v>364317</v>
      </c>
      <c r="L51" s="68">
        <v>20016</v>
      </c>
      <c r="M51" s="3">
        <v>17598</v>
      </c>
      <c r="N51" s="68">
        <v>8477</v>
      </c>
      <c r="O51" s="68">
        <v>730</v>
      </c>
      <c r="P51" s="3">
        <v>2798</v>
      </c>
      <c r="Q51" s="3">
        <v>21738</v>
      </c>
      <c r="R51" s="227">
        <f t="shared" si="5"/>
        <v>707290</v>
      </c>
      <c r="S51" s="5"/>
      <c r="T51" s="5"/>
      <c r="U51" s="5"/>
      <c r="V51" s="184"/>
      <c r="W51" s="184"/>
      <c r="X51" s="184"/>
      <c r="Y51" s="184"/>
      <c r="Z51" s="184"/>
      <c r="AA51" s="184"/>
      <c r="AB51" s="184"/>
      <c r="AC51" s="184"/>
      <c r="AD51" s="184"/>
      <c r="AE51" s="184"/>
      <c r="AF51" s="184"/>
      <c r="AG51" s="184"/>
      <c r="AH51" s="184"/>
      <c r="AI51" s="184"/>
      <c r="AJ51" s="184"/>
      <c r="AK51" s="187"/>
      <c r="AL51" s="188"/>
      <c r="AM51" s="468"/>
      <c r="AN51" s="183"/>
    </row>
    <row r="52" spans="1:40" s="185" customFormat="1" hidden="1" x14ac:dyDescent="0.2">
      <c r="A52" s="364">
        <f t="shared" si="6"/>
        <v>1</v>
      </c>
      <c r="B52" s="226">
        <v>41395</v>
      </c>
      <c r="C52" s="3">
        <v>41108</v>
      </c>
      <c r="D52" s="3">
        <v>9295</v>
      </c>
      <c r="E52" s="3">
        <v>63416</v>
      </c>
      <c r="F52" s="3">
        <v>1318</v>
      </c>
      <c r="G52" s="68">
        <v>106147</v>
      </c>
      <c r="H52" s="68">
        <v>45535</v>
      </c>
      <c r="I52" s="3">
        <v>12462</v>
      </c>
      <c r="J52" s="3">
        <v>659</v>
      </c>
      <c r="K52" s="68">
        <v>366710</v>
      </c>
      <c r="L52" s="68">
        <v>21546</v>
      </c>
      <c r="M52" s="3">
        <v>17257</v>
      </c>
      <c r="N52" s="68">
        <v>8346</v>
      </c>
      <c r="O52" s="68">
        <v>938</v>
      </c>
      <c r="P52" s="3">
        <v>2848</v>
      </c>
      <c r="Q52" s="3">
        <v>22000</v>
      </c>
      <c r="R52" s="227">
        <f t="shared" si="5"/>
        <v>719585</v>
      </c>
      <c r="S52" s="5"/>
      <c r="T52" s="5"/>
      <c r="U52" s="5"/>
      <c r="V52" s="184"/>
      <c r="W52" s="184"/>
      <c r="X52" s="184"/>
      <c r="Y52" s="184"/>
      <c r="Z52" s="184"/>
      <c r="AA52" s="184"/>
      <c r="AB52" s="184"/>
      <c r="AC52" s="184"/>
      <c r="AD52" s="184"/>
      <c r="AE52" s="184"/>
      <c r="AF52" s="184"/>
      <c r="AG52" s="184"/>
      <c r="AH52" s="184"/>
      <c r="AI52" s="184"/>
      <c r="AJ52" s="184"/>
      <c r="AK52" s="187"/>
      <c r="AL52" s="188"/>
      <c r="AM52" s="468"/>
      <c r="AN52" s="183"/>
    </row>
    <row r="53" spans="1:40" s="185" customFormat="1" hidden="1" x14ac:dyDescent="0.2">
      <c r="A53" s="364">
        <f t="shared" si="6"/>
        <v>1</v>
      </c>
      <c r="B53" s="226">
        <v>41426</v>
      </c>
      <c r="C53" s="3">
        <v>41153</v>
      </c>
      <c r="D53" s="3">
        <v>9358</v>
      </c>
      <c r="E53" s="3">
        <v>63540</v>
      </c>
      <c r="F53" s="3">
        <v>1368</v>
      </c>
      <c r="G53" s="68">
        <v>108773</v>
      </c>
      <c r="H53" s="68">
        <v>43600</v>
      </c>
      <c r="I53" s="3">
        <v>14772</v>
      </c>
      <c r="J53" s="3">
        <v>659</v>
      </c>
      <c r="K53" s="68">
        <v>373604</v>
      </c>
      <c r="L53" s="68">
        <v>20327</v>
      </c>
      <c r="M53" s="3">
        <v>17691</v>
      </c>
      <c r="N53" s="68">
        <v>8457</v>
      </c>
      <c r="O53" s="68">
        <v>863</v>
      </c>
      <c r="P53" s="3">
        <v>2739</v>
      </c>
      <c r="Q53" s="3">
        <v>22170</v>
      </c>
      <c r="R53" s="227">
        <f t="shared" si="5"/>
        <v>729074</v>
      </c>
      <c r="S53" s="5"/>
      <c r="T53" s="5"/>
      <c r="U53" s="5"/>
      <c r="V53" s="184"/>
      <c r="W53" s="184"/>
      <c r="X53" s="184"/>
      <c r="Y53" s="184"/>
      <c r="Z53" s="184"/>
      <c r="AA53" s="184"/>
      <c r="AB53" s="184"/>
      <c r="AC53" s="184"/>
      <c r="AD53" s="184"/>
      <c r="AE53" s="184"/>
      <c r="AF53" s="184"/>
      <c r="AG53" s="184"/>
      <c r="AH53" s="184"/>
      <c r="AI53" s="184"/>
      <c r="AJ53" s="184"/>
      <c r="AK53" s="187"/>
      <c r="AL53" s="188"/>
      <c r="AM53" s="468"/>
      <c r="AN53" s="183"/>
    </row>
    <row r="54" spans="1:40" s="185" customFormat="1" hidden="1" x14ac:dyDescent="0.2">
      <c r="A54" s="364">
        <f t="shared" si="6"/>
        <v>1</v>
      </c>
      <c r="B54" s="230" t="s">
        <v>121</v>
      </c>
      <c r="C54" s="8">
        <f>ROUND(AVERAGE(C42:C53),0)</f>
        <v>40827</v>
      </c>
      <c r="D54" s="8">
        <f t="shared" ref="D54:Q54" si="7">ROUND(AVERAGE(D42:D53),0)</f>
        <v>9051</v>
      </c>
      <c r="E54" s="8">
        <f t="shared" si="7"/>
        <v>61920</v>
      </c>
      <c r="F54" s="8">
        <f t="shared" si="7"/>
        <v>888</v>
      </c>
      <c r="G54" s="8">
        <f t="shared" si="7"/>
        <v>99392</v>
      </c>
      <c r="H54" s="8">
        <f t="shared" si="7"/>
        <v>41545</v>
      </c>
      <c r="I54" s="8">
        <f>ROUND(AVERAGE(I42:I53),0)</f>
        <v>10634</v>
      </c>
      <c r="J54" s="8">
        <f>ROUND(AVERAGE(J42:J53),0)</f>
        <v>623</v>
      </c>
      <c r="K54" s="8">
        <f>ROUND(AVERAGE(K42:K53),0)</f>
        <v>359843</v>
      </c>
      <c r="L54" s="8">
        <f>ROUND(AVERAGE(L42:L53),0)-1</f>
        <v>8236</v>
      </c>
      <c r="M54" s="8">
        <f t="shared" si="7"/>
        <v>17777</v>
      </c>
      <c r="N54" s="8">
        <f t="shared" si="7"/>
        <v>8024</v>
      </c>
      <c r="O54" s="8">
        <f>ROUND(AVERAGE(O42:O53),0)-1</f>
        <v>344</v>
      </c>
      <c r="P54" s="8">
        <f t="shared" si="7"/>
        <v>2684</v>
      </c>
      <c r="Q54" s="8">
        <f t="shared" si="7"/>
        <v>21206</v>
      </c>
      <c r="R54" s="231">
        <f>SUM(C54:Q54)</f>
        <v>682994</v>
      </c>
      <c r="S54" s="5"/>
      <c r="T54" s="5"/>
      <c r="U54" s="5"/>
      <c r="V54" s="184"/>
      <c r="W54" s="184"/>
      <c r="X54" s="184"/>
      <c r="Y54" s="184"/>
      <c r="Z54" s="184"/>
      <c r="AA54" s="184"/>
      <c r="AB54" s="184"/>
      <c r="AC54" s="184"/>
      <c r="AD54" s="184"/>
      <c r="AE54" s="184"/>
      <c r="AF54" s="184"/>
      <c r="AG54" s="184"/>
      <c r="AH54" s="184"/>
      <c r="AI54" s="184"/>
      <c r="AJ54" s="189"/>
      <c r="AK54" s="187"/>
      <c r="AL54" s="188"/>
      <c r="AM54" s="468"/>
      <c r="AN54" s="183"/>
    </row>
    <row r="55" spans="1:40" s="185" customFormat="1" hidden="1" x14ac:dyDescent="0.2">
      <c r="A55" s="364">
        <f t="shared" si="6"/>
        <v>1</v>
      </c>
      <c r="B55" s="232">
        <v>41456</v>
      </c>
      <c r="C55" s="221">
        <v>41243</v>
      </c>
      <c r="D55" s="221">
        <v>9466</v>
      </c>
      <c r="E55" s="221">
        <v>63919</v>
      </c>
      <c r="F55" s="221">
        <v>1494</v>
      </c>
      <c r="G55" s="222">
        <v>105843</v>
      </c>
      <c r="H55" s="222">
        <v>43321</v>
      </c>
      <c r="I55" s="222">
        <v>16073</v>
      </c>
      <c r="J55" s="222">
        <v>660</v>
      </c>
      <c r="K55" s="222">
        <v>379057</v>
      </c>
      <c r="L55" s="222">
        <v>11487</v>
      </c>
      <c r="M55" s="221">
        <v>17652</v>
      </c>
      <c r="N55" s="222">
        <v>9053</v>
      </c>
      <c r="O55" s="222">
        <v>334</v>
      </c>
      <c r="P55" s="221">
        <v>2754</v>
      </c>
      <c r="Q55" s="221">
        <v>22368</v>
      </c>
      <c r="R55" s="233">
        <f t="shared" si="5"/>
        <v>724724</v>
      </c>
      <c r="S55" s="5"/>
      <c r="T55" s="5"/>
      <c r="U55" s="5"/>
      <c r="V55" s="184"/>
      <c r="W55" s="184"/>
      <c r="X55" s="184"/>
      <c r="Y55" s="184"/>
      <c r="Z55" s="184"/>
      <c r="AA55" s="184"/>
      <c r="AB55" s="184"/>
      <c r="AC55" s="184"/>
      <c r="AD55" s="184"/>
      <c r="AE55" s="184"/>
      <c r="AF55" s="184"/>
      <c r="AG55" s="184"/>
      <c r="AH55" s="184"/>
      <c r="AI55" s="184"/>
      <c r="AJ55" s="184"/>
      <c r="AK55" s="187"/>
      <c r="AL55" s="188"/>
      <c r="AM55" s="468"/>
      <c r="AN55" s="183"/>
    </row>
    <row r="56" spans="1:40" s="185" customFormat="1" hidden="1" x14ac:dyDescent="0.2">
      <c r="A56" s="364">
        <f t="shared" si="6"/>
        <v>1</v>
      </c>
      <c r="B56" s="226">
        <v>41487</v>
      </c>
      <c r="C56" s="3">
        <v>41540</v>
      </c>
      <c r="D56" s="3">
        <v>9538</v>
      </c>
      <c r="E56" s="3">
        <v>64281</v>
      </c>
      <c r="F56" s="3">
        <v>1616</v>
      </c>
      <c r="G56" s="68">
        <v>106672</v>
      </c>
      <c r="H56" s="68">
        <v>45336</v>
      </c>
      <c r="I56" s="68">
        <v>17388</v>
      </c>
      <c r="J56" s="68">
        <v>648</v>
      </c>
      <c r="K56" s="68">
        <v>382925</v>
      </c>
      <c r="L56" s="68">
        <v>8984</v>
      </c>
      <c r="M56" s="3">
        <v>17659</v>
      </c>
      <c r="N56" s="68">
        <v>9219</v>
      </c>
      <c r="O56" s="68">
        <v>186</v>
      </c>
      <c r="P56" s="3">
        <v>2562</v>
      </c>
      <c r="Q56" s="3">
        <v>22539</v>
      </c>
      <c r="R56" s="227">
        <f t="shared" si="5"/>
        <v>731093</v>
      </c>
      <c r="S56" s="5"/>
      <c r="T56" s="5"/>
      <c r="U56" s="5"/>
      <c r="V56" s="184"/>
      <c r="W56" s="184"/>
      <c r="X56" s="184"/>
      <c r="Y56" s="184"/>
      <c r="Z56" s="184"/>
      <c r="AA56" s="184"/>
      <c r="AB56" s="184"/>
      <c r="AC56" s="184"/>
      <c r="AD56" s="184"/>
      <c r="AE56" s="184"/>
      <c r="AF56" s="184"/>
      <c r="AG56" s="184"/>
      <c r="AH56" s="184"/>
      <c r="AI56" s="184"/>
      <c r="AJ56" s="184"/>
      <c r="AK56" s="187"/>
      <c r="AL56" s="188"/>
      <c r="AM56" s="468"/>
      <c r="AN56" s="183"/>
    </row>
    <row r="57" spans="1:40" s="185" customFormat="1" hidden="1" x14ac:dyDescent="0.2">
      <c r="A57" s="364">
        <f t="shared" si="6"/>
        <v>1</v>
      </c>
      <c r="B57" s="226">
        <v>41518</v>
      </c>
      <c r="C57" s="3">
        <v>41696</v>
      </c>
      <c r="D57" s="3">
        <v>9641</v>
      </c>
      <c r="E57" s="3">
        <v>64309</v>
      </c>
      <c r="F57" s="3">
        <v>1692</v>
      </c>
      <c r="G57" s="68">
        <v>110929</v>
      </c>
      <c r="H57" s="68">
        <v>43247</v>
      </c>
      <c r="I57" s="68">
        <v>20951</v>
      </c>
      <c r="J57" s="68">
        <v>645</v>
      </c>
      <c r="K57" s="68">
        <v>394462</v>
      </c>
      <c r="L57" s="68">
        <v>4348</v>
      </c>
      <c r="M57" s="3">
        <v>17619</v>
      </c>
      <c r="N57" s="68">
        <v>9240</v>
      </c>
      <c r="O57" s="68">
        <v>105</v>
      </c>
      <c r="P57" s="3">
        <v>2511</v>
      </c>
      <c r="Q57" s="3">
        <v>22690</v>
      </c>
      <c r="R57" s="227">
        <f t="shared" si="5"/>
        <v>744085</v>
      </c>
      <c r="S57" s="5"/>
      <c r="T57" s="5"/>
      <c r="U57" s="5"/>
      <c r="V57" s="184"/>
      <c r="W57" s="184"/>
      <c r="X57" s="184"/>
      <c r="Y57" s="184"/>
      <c r="Z57" s="184"/>
      <c r="AA57" s="184"/>
      <c r="AB57" s="184"/>
      <c r="AC57" s="184"/>
      <c r="AD57" s="184"/>
      <c r="AE57" s="184"/>
      <c r="AF57" s="184"/>
      <c r="AG57" s="184"/>
      <c r="AH57" s="184"/>
      <c r="AI57" s="184"/>
      <c r="AJ57" s="184"/>
      <c r="AK57" s="187"/>
      <c r="AL57" s="188"/>
      <c r="AM57" s="468"/>
      <c r="AN57" s="183"/>
    </row>
    <row r="58" spans="1:40" s="185" customFormat="1" hidden="1" x14ac:dyDescent="0.2">
      <c r="A58" s="364">
        <f t="shared" si="6"/>
        <v>1</v>
      </c>
      <c r="B58" s="226">
        <v>41548</v>
      </c>
      <c r="C58" s="3">
        <v>41861</v>
      </c>
      <c r="D58" s="3">
        <v>9709</v>
      </c>
      <c r="E58" s="3">
        <v>64151</v>
      </c>
      <c r="F58" s="3">
        <v>2200</v>
      </c>
      <c r="G58" s="68">
        <v>111274</v>
      </c>
      <c r="H58" s="68">
        <v>37094</v>
      </c>
      <c r="I58" s="68">
        <v>19168</v>
      </c>
      <c r="J58" s="68">
        <v>639</v>
      </c>
      <c r="K58" s="68">
        <v>382709</v>
      </c>
      <c r="L58" s="68">
        <v>11153</v>
      </c>
      <c r="M58" s="3">
        <v>17675</v>
      </c>
      <c r="N58" s="68">
        <v>13079</v>
      </c>
      <c r="O58" s="3">
        <v>549</v>
      </c>
      <c r="P58" s="3">
        <v>2392</v>
      </c>
      <c r="Q58" s="3">
        <v>22299</v>
      </c>
      <c r="R58" s="227">
        <f t="shared" si="5"/>
        <v>735952</v>
      </c>
      <c r="S58" s="5"/>
      <c r="T58" s="5"/>
      <c r="U58" s="5"/>
      <c r="V58" s="184"/>
      <c r="W58" s="184"/>
      <c r="X58" s="184"/>
      <c r="Y58" s="184"/>
      <c r="Z58" s="184"/>
      <c r="AA58" s="184"/>
      <c r="AB58" s="184"/>
      <c r="AC58" s="184"/>
      <c r="AD58" s="184"/>
      <c r="AE58" s="184"/>
      <c r="AF58" s="184"/>
      <c r="AG58" s="184"/>
      <c r="AH58" s="184"/>
      <c r="AI58" s="184"/>
      <c r="AJ58" s="184"/>
      <c r="AK58" s="187"/>
      <c r="AL58" s="188"/>
      <c r="AM58" s="468"/>
      <c r="AN58" s="183"/>
    </row>
    <row r="59" spans="1:40" s="185" customFormat="1" hidden="1" x14ac:dyDescent="0.2">
      <c r="A59" s="364">
        <f t="shared" si="6"/>
        <v>1</v>
      </c>
      <c r="B59" s="226">
        <v>41579</v>
      </c>
      <c r="C59" s="3">
        <v>42098</v>
      </c>
      <c r="D59" s="3">
        <v>9748</v>
      </c>
      <c r="E59" s="3">
        <v>64396</v>
      </c>
      <c r="F59" s="3">
        <v>2749</v>
      </c>
      <c r="G59" s="68">
        <v>112290</v>
      </c>
      <c r="H59" s="68">
        <v>41332</v>
      </c>
      <c r="I59" s="68">
        <v>17976</v>
      </c>
      <c r="J59" s="68">
        <v>547</v>
      </c>
      <c r="K59" s="68">
        <v>386326</v>
      </c>
      <c r="L59" s="68">
        <v>18980</v>
      </c>
      <c r="M59" s="3">
        <v>17712</v>
      </c>
      <c r="N59" s="68">
        <v>13740</v>
      </c>
      <c r="O59" s="3">
        <v>1022</v>
      </c>
      <c r="P59" s="3">
        <v>2352</v>
      </c>
      <c r="Q59" s="3">
        <v>22539</v>
      </c>
      <c r="R59" s="227">
        <f t="shared" si="5"/>
        <v>753807</v>
      </c>
      <c r="S59" s="5"/>
      <c r="T59" s="5"/>
      <c r="U59" s="5"/>
      <c r="V59" s="184"/>
      <c r="W59" s="184"/>
      <c r="X59" s="184"/>
      <c r="Y59" s="184"/>
      <c r="Z59" s="184"/>
      <c r="AA59" s="184"/>
      <c r="AB59" s="184"/>
      <c r="AC59" s="184"/>
      <c r="AD59" s="184"/>
      <c r="AE59" s="184"/>
      <c r="AF59" s="184"/>
      <c r="AG59" s="184"/>
      <c r="AH59" s="184"/>
      <c r="AI59" s="184"/>
      <c r="AJ59" s="184"/>
      <c r="AK59" s="187"/>
      <c r="AL59" s="188"/>
      <c r="AM59" s="468"/>
      <c r="AN59" s="183"/>
    </row>
    <row r="60" spans="1:40" s="185" customFormat="1" ht="37.5" hidden="1" customHeight="1" x14ac:dyDescent="0.2">
      <c r="A60" s="364">
        <f t="shared" si="6"/>
        <v>1</v>
      </c>
      <c r="B60" s="226">
        <v>41609</v>
      </c>
      <c r="C60" s="3">
        <v>42265</v>
      </c>
      <c r="D60" s="3">
        <v>9797</v>
      </c>
      <c r="E60" s="3">
        <v>64478</v>
      </c>
      <c r="F60" s="3">
        <v>2690</v>
      </c>
      <c r="G60" s="68">
        <v>119836</v>
      </c>
      <c r="H60" s="68">
        <v>40228</v>
      </c>
      <c r="I60" s="68">
        <v>17092</v>
      </c>
      <c r="J60" s="68">
        <v>540</v>
      </c>
      <c r="K60" s="68">
        <v>389900</v>
      </c>
      <c r="L60" s="68">
        <v>28057</v>
      </c>
      <c r="M60" s="3">
        <v>17793</v>
      </c>
      <c r="N60" s="68">
        <v>14140</v>
      </c>
      <c r="O60" s="3">
        <v>1293</v>
      </c>
      <c r="P60" s="3">
        <v>2311</v>
      </c>
      <c r="Q60" s="3">
        <v>22534</v>
      </c>
      <c r="R60" s="227">
        <f t="shared" si="5"/>
        <v>772954</v>
      </c>
      <c r="S60" s="5"/>
      <c r="T60" s="5"/>
      <c r="U60" s="5"/>
      <c r="V60" s="184"/>
      <c r="W60" s="184"/>
      <c r="X60" s="184"/>
      <c r="Y60" s="184"/>
      <c r="Z60" s="184"/>
      <c r="AA60" s="184"/>
      <c r="AB60" s="184"/>
      <c r="AC60" s="184"/>
      <c r="AD60" s="184"/>
      <c r="AE60" s="184"/>
      <c r="AF60" s="184"/>
      <c r="AG60" s="184"/>
      <c r="AH60" s="184"/>
      <c r="AI60" s="184"/>
      <c r="AJ60" s="184"/>
      <c r="AK60" s="187"/>
      <c r="AL60" s="188"/>
      <c r="AM60" s="468"/>
      <c r="AN60" s="183"/>
    </row>
    <row r="61" spans="1:40" s="185" customFormat="1" hidden="1" x14ac:dyDescent="0.2">
      <c r="A61" s="364">
        <f t="shared" si="6"/>
        <v>1</v>
      </c>
      <c r="B61" s="226">
        <v>41640</v>
      </c>
      <c r="C61" s="3">
        <v>41861</v>
      </c>
      <c r="D61" s="3">
        <v>9838</v>
      </c>
      <c r="E61" s="3">
        <v>64838</v>
      </c>
      <c r="F61" s="3">
        <v>2217</v>
      </c>
      <c r="G61" s="68">
        <v>122548</v>
      </c>
      <c r="H61" s="68">
        <v>40659</v>
      </c>
      <c r="I61" s="68">
        <v>120068</v>
      </c>
      <c r="J61" s="68">
        <v>543</v>
      </c>
      <c r="K61" s="68">
        <v>398421</v>
      </c>
      <c r="L61" s="68">
        <v>29967</v>
      </c>
      <c r="M61" s="3">
        <v>17684</v>
      </c>
      <c r="N61" s="68">
        <v>14582</v>
      </c>
      <c r="O61" s="3">
        <v>1390</v>
      </c>
      <c r="P61" s="3">
        <v>2309</v>
      </c>
      <c r="Q61" s="3">
        <v>22740</v>
      </c>
      <c r="R61" s="227">
        <f t="shared" si="5"/>
        <v>889665</v>
      </c>
      <c r="S61" s="5"/>
      <c r="T61" s="5"/>
      <c r="U61" s="5"/>
      <c r="V61" s="184"/>
      <c r="W61" s="184"/>
      <c r="X61" s="184"/>
      <c r="Y61" s="184"/>
      <c r="Z61" s="184"/>
      <c r="AA61" s="184"/>
      <c r="AB61" s="184"/>
      <c r="AC61" s="184"/>
      <c r="AD61" s="184"/>
      <c r="AE61" s="184"/>
      <c r="AF61" s="184"/>
      <c r="AG61" s="184"/>
      <c r="AH61" s="184"/>
      <c r="AI61" s="184"/>
      <c r="AJ61" s="184"/>
      <c r="AK61" s="187"/>
      <c r="AL61" s="188"/>
      <c r="AM61" s="468"/>
      <c r="AN61" s="183"/>
    </row>
    <row r="62" spans="1:40" s="185" customFormat="1" hidden="1" x14ac:dyDescent="0.2">
      <c r="A62" s="364">
        <f t="shared" si="6"/>
        <v>1</v>
      </c>
      <c r="B62" s="226">
        <v>41671</v>
      </c>
      <c r="C62" s="3">
        <v>42003</v>
      </c>
      <c r="D62" s="3">
        <v>9919</v>
      </c>
      <c r="E62" s="3">
        <v>64798</v>
      </c>
      <c r="F62" s="3">
        <v>3146</v>
      </c>
      <c r="G62" s="223">
        <v>129759</v>
      </c>
      <c r="H62" s="223">
        <v>51272</v>
      </c>
      <c r="I62" s="68">
        <v>125369</v>
      </c>
      <c r="J62" s="68">
        <v>527</v>
      </c>
      <c r="K62" s="68">
        <v>403888</v>
      </c>
      <c r="L62" s="68">
        <v>33263</v>
      </c>
      <c r="M62" s="3">
        <v>17744</v>
      </c>
      <c r="N62" s="68">
        <v>14691</v>
      </c>
      <c r="O62" s="3">
        <v>1471</v>
      </c>
      <c r="P62" s="3">
        <v>2374</v>
      </c>
      <c r="Q62" s="3">
        <v>23302</v>
      </c>
      <c r="R62" s="227">
        <f t="shared" si="5"/>
        <v>923526</v>
      </c>
      <c r="S62" s="5"/>
      <c r="T62" s="5"/>
      <c r="U62" s="5"/>
      <c r="V62" s="184"/>
      <c r="W62" s="184"/>
      <c r="X62" s="184"/>
      <c r="Y62" s="184"/>
      <c r="Z62" s="184"/>
      <c r="AA62" s="184"/>
      <c r="AB62" s="184"/>
      <c r="AC62" s="184"/>
      <c r="AD62" s="184"/>
      <c r="AE62" s="184"/>
      <c r="AF62" s="184"/>
      <c r="AG62" s="184"/>
      <c r="AH62" s="184"/>
      <c r="AI62" s="184"/>
      <c r="AJ62" s="184"/>
      <c r="AK62" s="187"/>
      <c r="AL62" s="188"/>
      <c r="AM62" s="468"/>
      <c r="AN62" s="183"/>
    </row>
    <row r="63" spans="1:40" s="185" customFormat="1" hidden="1" x14ac:dyDescent="0.2">
      <c r="A63" s="364">
        <f t="shared" si="6"/>
        <v>1</v>
      </c>
      <c r="B63" s="226">
        <v>41699</v>
      </c>
      <c r="C63" s="3">
        <v>42145</v>
      </c>
      <c r="D63" s="3">
        <v>10027</v>
      </c>
      <c r="E63" s="3">
        <v>64312</v>
      </c>
      <c r="F63" s="3">
        <v>3188</v>
      </c>
      <c r="G63" s="223">
        <v>138165</v>
      </c>
      <c r="H63" s="223">
        <v>53923</v>
      </c>
      <c r="I63" s="68">
        <v>157246</v>
      </c>
      <c r="J63" s="68">
        <v>498</v>
      </c>
      <c r="K63" s="68">
        <v>408290</v>
      </c>
      <c r="L63" s="68">
        <v>38398</v>
      </c>
      <c r="M63" s="3">
        <v>17704</v>
      </c>
      <c r="N63" s="68">
        <v>14991</v>
      </c>
      <c r="O63" s="3">
        <v>1596</v>
      </c>
      <c r="P63" s="3">
        <v>2426</v>
      </c>
      <c r="Q63" s="3">
        <v>24063</v>
      </c>
      <c r="R63" s="227">
        <f t="shared" si="5"/>
        <v>976972</v>
      </c>
      <c r="S63" s="5"/>
      <c r="T63" s="5"/>
      <c r="U63" s="5"/>
      <c r="V63" s="184"/>
      <c r="W63" s="184"/>
      <c r="X63" s="192"/>
      <c r="Y63" s="184"/>
      <c r="Z63" s="184"/>
      <c r="AA63" s="184"/>
      <c r="AB63" s="184"/>
      <c r="AC63" s="184"/>
      <c r="AD63" s="184"/>
      <c r="AE63" s="184"/>
      <c r="AF63" s="184"/>
      <c r="AG63" s="184"/>
      <c r="AH63" s="184"/>
      <c r="AI63" s="184"/>
      <c r="AJ63" s="184"/>
      <c r="AK63" s="187"/>
      <c r="AL63" s="188"/>
      <c r="AM63" s="468"/>
      <c r="AN63" s="183"/>
    </row>
    <row r="64" spans="1:40" s="185" customFormat="1" hidden="1" x14ac:dyDescent="0.2">
      <c r="A64" s="364">
        <f t="shared" si="6"/>
        <v>1</v>
      </c>
      <c r="B64" s="226">
        <v>41730</v>
      </c>
      <c r="C64" s="3">
        <v>41762</v>
      </c>
      <c r="D64" s="3">
        <v>10129</v>
      </c>
      <c r="E64" s="3">
        <v>64148</v>
      </c>
      <c r="F64" s="3">
        <v>3288</v>
      </c>
      <c r="G64" s="223">
        <v>144089</v>
      </c>
      <c r="H64" s="223">
        <v>55524</v>
      </c>
      <c r="I64" s="68">
        <v>171950</v>
      </c>
      <c r="J64" s="68">
        <v>492</v>
      </c>
      <c r="K64" s="68">
        <v>415666</v>
      </c>
      <c r="L64" s="68">
        <v>39128</v>
      </c>
      <c r="M64" s="3">
        <v>19526</v>
      </c>
      <c r="N64" s="68">
        <v>15093</v>
      </c>
      <c r="O64" s="3">
        <v>1559</v>
      </c>
      <c r="P64" s="3">
        <v>2467</v>
      </c>
      <c r="Q64" s="3">
        <v>24662</v>
      </c>
      <c r="R64" s="227">
        <f t="shared" si="5"/>
        <v>1009483</v>
      </c>
      <c r="S64" s="5"/>
      <c r="T64" s="5"/>
      <c r="U64" s="5"/>
      <c r="V64" s="184"/>
      <c r="W64" s="184"/>
      <c r="X64" s="184"/>
      <c r="Y64" s="184"/>
      <c r="Z64" s="184"/>
      <c r="AA64" s="184"/>
      <c r="AB64" s="184"/>
      <c r="AC64" s="184"/>
      <c r="AD64" s="184"/>
      <c r="AE64" s="184"/>
      <c r="AF64" s="184"/>
      <c r="AG64" s="184"/>
      <c r="AH64" s="184"/>
      <c r="AI64" s="184"/>
      <c r="AJ64" s="184"/>
      <c r="AK64" s="187"/>
      <c r="AL64" s="188"/>
      <c r="AM64" s="468"/>
      <c r="AN64" s="183"/>
    </row>
    <row r="65" spans="1:40" s="185" customFormat="1" hidden="1" x14ac:dyDescent="0.2">
      <c r="A65" s="364">
        <f t="shared" si="6"/>
        <v>1</v>
      </c>
      <c r="B65" s="226">
        <v>41760</v>
      </c>
      <c r="C65" s="3">
        <v>41991</v>
      </c>
      <c r="D65" s="3">
        <v>10162</v>
      </c>
      <c r="E65" s="3">
        <v>64492</v>
      </c>
      <c r="F65" s="3">
        <v>3257</v>
      </c>
      <c r="G65" s="223">
        <v>145211</v>
      </c>
      <c r="H65" s="223">
        <v>54497</v>
      </c>
      <c r="I65" s="68">
        <v>176827</v>
      </c>
      <c r="J65" s="68">
        <v>488</v>
      </c>
      <c r="K65" s="68">
        <v>420786</v>
      </c>
      <c r="L65" s="68">
        <v>39624</v>
      </c>
      <c r="M65" s="3">
        <v>20168</v>
      </c>
      <c r="N65" s="68">
        <v>15086</v>
      </c>
      <c r="O65" s="3">
        <v>1549</v>
      </c>
      <c r="P65" s="3">
        <v>2487</v>
      </c>
      <c r="Q65" s="3">
        <v>25120</v>
      </c>
      <c r="R65" s="227">
        <f t="shared" si="5"/>
        <v>1021745</v>
      </c>
      <c r="S65" s="5"/>
      <c r="T65" s="5"/>
      <c r="U65" s="5"/>
      <c r="V65" s="184"/>
      <c r="W65" s="184"/>
      <c r="X65" s="184"/>
      <c r="Y65" s="184"/>
      <c r="Z65" s="184"/>
      <c r="AA65" s="184"/>
      <c r="AB65" s="184"/>
      <c r="AC65" s="184"/>
      <c r="AD65" s="184"/>
      <c r="AE65" s="184"/>
      <c r="AF65" s="184"/>
      <c r="AG65" s="184"/>
      <c r="AH65" s="184"/>
      <c r="AI65" s="184"/>
      <c r="AJ65" s="184"/>
      <c r="AK65" s="187"/>
      <c r="AL65" s="188"/>
      <c r="AM65" s="468"/>
      <c r="AN65" s="183"/>
    </row>
    <row r="66" spans="1:40" s="185" customFormat="1" hidden="1" x14ac:dyDescent="0.2">
      <c r="A66" s="364">
        <f t="shared" si="6"/>
        <v>1</v>
      </c>
      <c r="B66" s="226">
        <v>41791</v>
      </c>
      <c r="C66" s="3">
        <v>41564</v>
      </c>
      <c r="D66" s="3">
        <v>10263</v>
      </c>
      <c r="E66" s="3">
        <v>64968</v>
      </c>
      <c r="F66" s="3">
        <v>3186</v>
      </c>
      <c r="G66" s="223">
        <v>149545</v>
      </c>
      <c r="H66" s="223">
        <v>58549</v>
      </c>
      <c r="I66" s="68">
        <v>186802</v>
      </c>
      <c r="J66" s="68">
        <v>477</v>
      </c>
      <c r="K66" s="68">
        <v>425952</v>
      </c>
      <c r="L66" s="68">
        <v>40754</v>
      </c>
      <c r="M66" s="3">
        <v>20268</v>
      </c>
      <c r="N66" s="68">
        <v>15007</v>
      </c>
      <c r="O66" s="3">
        <v>1634</v>
      </c>
      <c r="P66" s="3">
        <v>2821</v>
      </c>
      <c r="Q66" s="3">
        <v>25676</v>
      </c>
      <c r="R66" s="227">
        <f t="shared" si="5"/>
        <v>1047466</v>
      </c>
      <c r="S66" s="5"/>
      <c r="T66" s="5"/>
      <c r="U66" s="5"/>
      <c r="V66" s="184"/>
      <c r="W66" s="184"/>
      <c r="X66" s="184"/>
      <c r="Y66" s="184"/>
      <c r="Z66" s="184"/>
      <c r="AA66" s="184"/>
      <c r="AB66" s="184"/>
      <c r="AC66" s="184"/>
      <c r="AD66" s="184"/>
      <c r="AE66" s="184"/>
      <c r="AF66" s="184"/>
      <c r="AG66" s="184"/>
      <c r="AH66" s="184"/>
      <c r="AI66" s="184"/>
      <c r="AJ66" s="184"/>
      <c r="AK66" s="187"/>
      <c r="AL66" s="188"/>
      <c r="AM66" s="468"/>
      <c r="AN66" s="183"/>
    </row>
    <row r="67" spans="1:40" s="185" customFormat="1" hidden="1" x14ac:dyDescent="0.2">
      <c r="A67" s="364">
        <f t="shared" si="6"/>
        <v>1</v>
      </c>
      <c r="B67" s="230" t="s">
        <v>130</v>
      </c>
      <c r="C67" s="8">
        <f>ROUND(AVERAGE(C55:C66),0)</f>
        <v>41836</v>
      </c>
      <c r="D67" s="8">
        <f t="shared" ref="D67:Q67" si="8">ROUND(AVERAGE(D55:D66),0)</f>
        <v>9853</v>
      </c>
      <c r="E67" s="8">
        <f t="shared" si="8"/>
        <v>64424</v>
      </c>
      <c r="F67" s="8">
        <f t="shared" si="8"/>
        <v>2560</v>
      </c>
      <c r="G67" s="8">
        <f t="shared" si="8"/>
        <v>124680</v>
      </c>
      <c r="H67" s="8">
        <f t="shared" si="8"/>
        <v>47082</v>
      </c>
      <c r="I67" s="8">
        <f>ROUND(AVERAGE(I55:I66),0)</f>
        <v>87243</v>
      </c>
      <c r="J67" s="8">
        <f>ROUND(AVERAGE(J55:J66),0)</f>
        <v>559</v>
      </c>
      <c r="K67" s="8">
        <f>ROUND(AVERAGE(K55:K66),0)</f>
        <v>399032</v>
      </c>
      <c r="L67" s="8">
        <f t="shared" si="8"/>
        <v>25345</v>
      </c>
      <c r="M67" s="8">
        <f t="shared" si="8"/>
        <v>18267</v>
      </c>
      <c r="N67" s="8">
        <f t="shared" si="8"/>
        <v>13160</v>
      </c>
      <c r="O67" s="8">
        <f t="shared" si="8"/>
        <v>1057</v>
      </c>
      <c r="P67" s="8">
        <f t="shared" si="8"/>
        <v>2481</v>
      </c>
      <c r="Q67" s="8">
        <f t="shared" si="8"/>
        <v>23378</v>
      </c>
      <c r="R67" s="231">
        <f t="shared" si="5"/>
        <v>860957</v>
      </c>
      <c r="S67" s="5"/>
      <c r="T67" s="5"/>
      <c r="U67" s="5"/>
      <c r="V67" s="184"/>
      <c r="W67" s="184"/>
      <c r="X67" s="184"/>
      <c r="Y67" s="184"/>
      <c r="Z67" s="184"/>
      <c r="AA67" s="184"/>
      <c r="AB67" s="184"/>
      <c r="AC67" s="184"/>
      <c r="AD67" s="184"/>
      <c r="AE67" s="184"/>
      <c r="AF67" s="184"/>
      <c r="AG67" s="184"/>
      <c r="AH67" s="184"/>
      <c r="AI67" s="184"/>
      <c r="AJ67" s="184"/>
      <c r="AK67" s="187"/>
      <c r="AL67" s="188"/>
      <c r="AM67" s="468"/>
      <c r="AN67" s="183"/>
    </row>
    <row r="68" spans="1:40" s="185" customFormat="1" hidden="1" x14ac:dyDescent="0.2">
      <c r="A68" s="364">
        <f t="shared" si="6"/>
        <v>1</v>
      </c>
      <c r="B68" s="232">
        <v>41821</v>
      </c>
      <c r="C68" s="221">
        <v>41551</v>
      </c>
      <c r="D68" s="221">
        <v>10346</v>
      </c>
      <c r="E68" s="221">
        <v>65459</v>
      </c>
      <c r="F68" s="221">
        <v>3065</v>
      </c>
      <c r="G68" s="221">
        <v>153837</v>
      </c>
      <c r="H68" s="221">
        <v>60981</v>
      </c>
      <c r="I68" s="221">
        <v>194454</v>
      </c>
      <c r="J68" s="221">
        <v>472</v>
      </c>
      <c r="K68" s="222">
        <v>431203</v>
      </c>
      <c r="L68" s="222">
        <v>41550</v>
      </c>
      <c r="M68" s="221">
        <v>20190</v>
      </c>
      <c r="N68" s="221">
        <v>15038</v>
      </c>
      <c r="O68" s="221">
        <v>1672</v>
      </c>
      <c r="P68" s="221">
        <v>2551</v>
      </c>
      <c r="Q68" s="221">
        <v>25963</v>
      </c>
      <c r="R68" s="233">
        <f>SUM(C68:Q68)</f>
        <v>1068332</v>
      </c>
      <c r="S68" s="5"/>
      <c r="T68" s="5"/>
      <c r="U68" s="5"/>
      <c r="V68" s="184"/>
      <c r="W68" s="184"/>
      <c r="X68" s="184"/>
      <c r="Y68" s="184"/>
      <c r="Z68" s="184"/>
      <c r="AA68" s="184"/>
      <c r="AB68" s="184"/>
      <c r="AC68" s="184"/>
      <c r="AD68" s="184"/>
      <c r="AE68" s="184"/>
      <c r="AF68" s="184"/>
      <c r="AG68" s="184"/>
      <c r="AH68" s="184"/>
      <c r="AI68" s="184"/>
      <c r="AJ68" s="184"/>
      <c r="AK68" s="184"/>
      <c r="AL68" s="188"/>
      <c r="AM68" s="468"/>
      <c r="AN68" s="469"/>
    </row>
    <row r="69" spans="1:40" s="185" customFormat="1" hidden="1" x14ac:dyDescent="0.2">
      <c r="A69" s="364">
        <f t="shared" si="6"/>
        <v>1</v>
      </c>
      <c r="B69" s="226">
        <v>41852</v>
      </c>
      <c r="C69" s="3">
        <v>42513</v>
      </c>
      <c r="D69" s="3">
        <v>10350</v>
      </c>
      <c r="E69" s="3">
        <v>65785</v>
      </c>
      <c r="F69" s="3">
        <v>2971</v>
      </c>
      <c r="G69" s="3">
        <v>156343</v>
      </c>
      <c r="H69" s="3">
        <v>62711</v>
      </c>
      <c r="I69" s="3">
        <v>202825</v>
      </c>
      <c r="J69" s="3">
        <v>463</v>
      </c>
      <c r="K69" s="68">
        <v>436077</v>
      </c>
      <c r="L69" s="68">
        <v>42750</v>
      </c>
      <c r="M69" s="3">
        <v>20213</v>
      </c>
      <c r="N69" s="3">
        <v>15436</v>
      </c>
      <c r="O69" s="3">
        <v>1800</v>
      </c>
      <c r="P69" s="3">
        <v>2494</v>
      </c>
      <c r="Q69" s="3">
        <v>26347</v>
      </c>
      <c r="R69" s="227">
        <f>1089078</f>
        <v>1089078</v>
      </c>
      <c r="S69" s="5"/>
      <c r="T69" s="5"/>
      <c r="U69" s="5"/>
      <c r="V69" s="184"/>
      <c r="W69" s="184"/>
      <c r="X69" s="184"/>
      <c r="Y69" s="184"/>
      <c r="Z69" s="184"/>
      <c r="AA69" s="184"/>
      <c r="AB69" s="184"/>
      <c r="AC69" s="184"/>
      <c r="AD69" s="184"/>
      <c r="AE69" s="184"/>
      <c r="AF69" s="184"/>
      <c r="AG69" s="184"/>
      <c r="AH69" s="184"/>
      <c r="AI69" s="184"/>
      <c r="AJ69" s="184"/>
      <c r="AK69" s="184"/>
      <c r="AL69" s="188"/>
      <c r="AM69" s="469"/>
      <c r="AN69" s="469"/>
    </row>
    <row r="70" spans="1:40" s="185" customFormat="1" hidden="1" x14ac:dyDescent="0.2">
      <c r="A70" s="364">
        <f t="shared" si="6"/>
        <v>1</v>
      </c>
      <c r="B70" s="226">
        <v>41883</v>
      </c>
      <c r="C70" s="3">
        <v>42643</v>
      </c>
      <c r="D70" s="3">
        <v>10362</v>
      </c>
      <c r="E70" s="3">
        <v>66054</v>
      </c>
      <c r="F70" s="3">
        <v>2925</v>
      </c>
      <c r="G70" s="3">
        <v>159740</v>
      </c>
      <c r="H70" s="3">
        <v>63847</v>
      </c>
      <c r="I70" s="3">
        <v>210970</v>
      </c>
      <c r="J70" s="3">
        <v>439</v>
      </c>
      <c r="K70" s="68">
        <v>438991</v>
      </c>
      <c r="L70" s="68">
        <v>44001</v>
      </c>
      <c r="M70" s="3">
        <v>20124</v>
      </c>
      <c r="N70" s="3">
        <v>15386</v>
      </c>
      <c r="O70" s="3">
        <v>1854</v>
      </c>
      <c r="P70" s="3">
        <v>2474</v>
      </c>
      <c r="Q70" s="3">
        <v>26787</v>
      </c>
      <c r="R70" s="227">
        <f t="shared" ref="R70:R81" si="9">SUM(C70:Q70)</f>
        <v>1106597</v>
      </c>
      <c r="S70" s="5"/>
      <c r="T70" s="5"/>
      <c r="U70" s="5"/>
      <c r="V70" s="184"/>
      <c r="W70" s="184"/>
      <c r="X70" s="184"/>
      <c r="Y70" s="184"/>
      <c r="Z70" s="184"/>
      <c r="AA70" s="184"/>
      <c r="AB70" s="184"/>
      <c r="AC70" s="184"/>
      <c r="AD70" s="184"/>
      <c r="AE70" s="184"/>
      <c r="AF70" s="184"/>
      <c r="AG70" s="184"/>
      <c r="AH70" s="184"/>
      <c r="AI70" s="184"/>
      <c r="AJ70" s="184"/>
      <c r="AK70" s="184"/>
      <c r="AL70" s="188"/>
      <c r="AM70" s="469"/>
      <c r="AN70" s="469"/>
    </row>
    <row r="71" spans="1:40" s="185" customFormat="1" hidden="1" x14ac:dyDescent="0.2">
      <c r="A71" s="364">
        <f t="shared" si="6"/>
        <v>1</v>
      </c>
      <c r="B71" s="226">
        <v>41913</v>
      </c>
      <c r="C71" s="3">
        <v>41763</v>
      </c>
      <c r="D71" s="3">
        <v>10355</v>
      </c>
      <c r="E71" s="3">
        <v>66009</v>
      </c>
      <c r="F71" s="3">
        <v>2927</v>
      </c>
      <c r="G71" s="3">
        <v>160707</v>
      </c>
      <c r="H71" s="3">
        <v>65552</v>
      </c>
      <c r="I71" s="3">
        <v>218403</v>
      </c>
      <c r="J71" s="3">
        <v>424</v>
      </c>
      <c r="K71" s="68">
        <v>442075</v>
      </c>
      <c r="L71" s="68">
        <v>45249</v>
      </c>
      <c r="M71" s="3">
        <v>20187</v>
      </c>
      <c r="N71" s="3">
        <v>14938</v>
      </c>
      <c r="O71" s="3">
        <v>1769</v>
      </c>
      <c r="P71" s="3">
        <v>2533</v>
      </c>
      <c r="Q71" s="3">
        <v>27229</v>
      </c>
      <c r="R71" s="227">
        <f t="shared" si="9"/>
        <v>1120120</v>
      </c>
      <c r="S71" s="5"/>
      <c r="T71" s="5"/>
      <c r="U71" s="5"/>
      <c r="V71" s="184"/>
      <c r="W71" s="184"/>
      <c r="X71" s="184"/>
      <c r="Y71" s="184"/>
      <c r="Z71" s="184"/>
      <c r="AA71" s="184"/>
      <c r="AB71" s="184"/>
      <c r="AC71" s="184"/>
      <c r="AD71" s="184"/>
      <c r="AE71" s="184"/>
      <c r="AF71" s="184"/>
      <c r="AG71" s="184"/>
      <c r="AH71" s="184"/>
      <c r="AI71" s="184"/>
      <c r="AJ71" s="184"/>
      <c r="AK71" s="184"/>
      <c r="AL71" s="188"/>
      <c r="AM71" s="469"/>
      <c r="AN71" s="469"/>
    </row>
    <row r="72" spans="1:40" s="185" customFormat="1" hidden="1" x14ac:dyDescent="0.2">
      <c r="A72" s="364">
        <f t="shared" si="6"/>
        <v>1</v>
      </c>
      <c r="B72" s="226">
        <v>41944</v>
      </c>
      <c r="C72" s="3">
        <v>41918</v>
      </c>
      <c r="D72" s="3">
        <v>10341</v>
      </c>
      <c r="E72" s="3">
        <v>66343</v>
      </c>
      <c r="F72" s="3">
        <v>3023</v>
      </c>
      <c r="G72" s="3">
        <v>158375</v>
      </c>
      <c r="H72" s="3">
        <v>66811</v>
      </c>
      <c r="I72" s="3">
        <v>222465</v>
      </c>
      <c r="J72" s="3">
        <v>425</v>
      </c>
      <c r="K72" s="68">
        <v>442141</v>
      </c>
      <c r="L72" s="68">
        <v>46654</v>
      </c>
      <c r="M72" s="3">
        <v>20140</v>
      </c>
      <c r="N72" s="3">
        <v>14691</v>
      </c>
      <c r="O72" s="3">
        <v>1733</v>
      </c>
      <c r="P72" s="3">
        <v>2444</v>
      </c>
      <c r="Q72" s="3">
        <v>27601</v>
      </c>
      <c r="R72" s="227">
        <f t="shared" si="9"/>
        <v>1125105</v>
      </c>
      <c r="S72" s="5"/>
      <c r="T72" s="5"/>
      <c r="U72" s="5"/>
      <c r="V72" s="184"/>
      <c r="W72" s="184"/>
      <c r="X72" s="184"/>
      <c r="Y72" s="184"/>
      <c r="Z72" s="184"/>
      <c r="AA72" s="184"/>
      <c r="AB72" s="184"/>
      <c r="AC72" s="184"/>
      <c r="AD72" s="184"/>
      <c r="AE72" s="184"/>
      <c r="AF72" s="184"/>
      <c r="AG72" s="184"/>
      <c r="AH72" s="184"/>
      <c r="AI72" s="184"/>
      <c r="AJ72" s="184"/>
      <c r="AK72" s="184"/>
      <c r="AL72" s="188"/>
      <c r="AM72" s="469"/>
      <c r="AN72" s="469"/>
    </row>
    <row r="73" spans="1:40" s="185" customFormat="1" hidden="1" x14ac:dyDescent="0.2">
      <c r="A73" s="364">
        <f t="shared" si="6"/>
        <v>1</v>
      </c>
      <c r="B73" s="226">
        <v>41974</v>
      </c>
      <c r="C73" s="3">
        <v>41927</v>
      </c>
      <c r="D73" s="3">
        <v>10404</v>
      </c>
      <c r="E73" s="3">
        <v>66441</v>
      </c>
      <c r="F73" s="3">
        <v>3556</v>
      </c>
      <c r="G73" s="3">
        <v>162727</v>
      </c>
      <c r="H73" s="3">
        <v>70288</v>
      </c>
      <c r="I73" s="3">
        <v>237045</v>
      </c>
      <c r="J73" s="3">
        <v>396</v>
      </c>
      <c r="K73" s="68">
        <v>446354</v>
      </c>
      <c r="L73" s="68">
        <v>47275</v>
      </c>
      <c r="M73" s="3">
        <v>20056</v>
      </c>
      <c r="N73" s="3">
        <v>14542</v>
      </c>
      <c r="O73" s="3">
        <v>1675</v>
      </c>
      <c r="P73" s="3">
        <v>2541</v>
      </c>
      <c r="Q73" s="3">
        <v>27944</v>
      </c>
      <c r="R73" s="227">
        <f t="shared" si="9"/>
        <v>1153171</v>
      </c>
      <c r="S73" s="5"/>
      <c r="T73" s="5"/>
      <c r="U73" s="5"/>
      <c r="V73" s="184"/>
      <c r="W73" s="184"/>
      <c r="X73" s="184"/>
      <c r="Y73" s="184"/>
      <c r="Z73" s="184"/>
      <c r="AA73" s="184"/>
      <c r="AB73" s="184"/>
      <c r="AC73" s="184"/>
      <c r="AD73" s="184"/>
      <c r="AE73" s="184"/>
      <c r="AF73" s="184"/>
      <c r="AG73" s="184"/>
      <c r="AH73" s="184"/>
      <c r="AI73" s="184"/>
      <c r="AJ73" s="184"/>
      <c r="AK73" s="184"/>
      <c r="AL73" s="188"/>
      <c r="AM73" s="469"/>
      <c r="AN73" s="469"/>
    </row>
    <row r="74" spans="1:40" s="185" customFormat="1" hidden="1" x14ac:dyDescent="0.2">
      <c r="A74" s="364">
        <f t="shared" si="6"/>
        <v>1</v>
      </c>
      <c r="B74" s="226">
        <v>42005</v>
      </c>
      <c r="C74" s="3">
        <v>41392</v>
      </c>
      <c r="D74" s="3">
        <v>10395</v>
      </c>
      <c r="E74" s="3">
        <v>66758</v>
      </c>
      <c r="F74" s="3">
        <v>3772</v>
      </c>
      <c r="G74" s="3">
        <v>160406</v>
      </c>
      <c r="H74" s="3">
        <v>76807</v>
      </c>
      <c r="I74" s="3">
        <v>247056</v>
      </c>
      <c r="J74" s="3">
        <v>379</v>
      </c>
      <c r="K74" s="3">
        <v>444669</v>
      </c>
      <c r="L74" s="3">
        <v>53548</v>
      </c>
      <c r="M74" s="3">
        <v>19951</v>
      </c>
      <c r="N74" s="3">
        <v>14590</v>
      </c>
      <c r="O74" s="3">
        <v>1772</v>
      </c>
      <c r="P74" s="3">
        <v>2811</v>
      </c>
      <c r="Q74" s="3">
        <v>28226</v>
      </c>
      <c r="R74" s="227">
        <f t="shared" si="9"/>
        <v>1172532</v>
      </c>
      <c r="S74" s="5"/>
      <c r="T74" s="5"/>
      <c r="U74" s="5"/>
      <c r="V74" s="184"/>
      <c r="W74" s="184"/>
      <c r="X74" s="184"/>
      <c r="Y74" s="184"/>
      <c r="Z74" s="184"/>
      <c r="AA74" s="184"/>
      <c r="AB74" s="184"/>
      <c r="AC74" s="184"/>
      <c r="AD74" s="184"/>
      <c r="AE74" s="184"/>
      <c r="AF74" s="184"/>
      <c r="AG74" s="184"/>
      <c r="AH74" s="184"/>
      <c r="AI74" s="184"/>
      <c r="AJ74" s="184"/>
      <c r="AK74" s="184"/>
      <c r="AL74" s="188"/>
      <c r="AM74" s="469"/>
      <c r="AN74" s="469"/>
    </row>
    <row r="75" spans="1:40" s="185" customFormat="1" hidden="1" x14ac:dyDescent="0.2">
      <c r="A75" s="364">
        <f t="shared" si="6"/>
        <v>1</v>
      </c>
      <c r="B75" s="226">
        <v>42036</v>
      </c>
      <c r="C75" s="3">
        <v>41334</v>
      </c>
      <c r="D75" s="3">
        <v>10532</v>
      </c>
      <c r="E75" s="3">
        <v>66651</v>
      </c>
      <c r="F75" s="3">
        <v>4112</v>
      </c>
      <c r="G75" s="3">
        <v>161480</v>
      </c>
      <c r="H75" s="3">
        <v>78910</v>
      </c>
      <c r="I75" s="3">
        <v>261108</v>
      </c>
      <c r="J75" s="3">
        <v>368</v>
      </c>
      <c r="K75" s="3">
        <v>446886</v>
      </c>
      <c r="L75" s="3">
        <v>55445</v>
      </c>
      <c r="M75" s="3">
        <v>19932</v>
      </c>
      <c r="N75" s="3">
        <v>14643</v>
      </c>
      <c r="O75" s="3">
        <v>1795</v>
      </c>
      <c r="P75" s="3">
        <v>2775</v>
      </c>
      <c r="Q75" s="3">
        <v>28158</v>
      </c>
      <c r="R75" s="227">
        <f t="shared" si="9"/>
        <v>1194129</v>
      </c>
      <c r="S75" s="5"/>
      <c r="T75" s="5"/>
      <c r="U75" s="5"/>
      <c r="V75" s="184"/>
      <c r="W75" s="184"/>
      <c r="X75" s="184"/>
      <c r="Y75" s="184"/>
      <c r="Z75" s="184"/>
      <c r="AA75" s="184"/>
      <c r="AB75" s="184"/>
      <c r="AC75" s="184"/>
      <c r="AD75" s="184"/>
      <c r="AE75" s="184"/>
      <c r="AF75" s="184"/>
      <c r="AG75" s="184"/>
      <c r="AH75" s="184"/>
      <c r="AI75" s="184"/>
      <c r="AJ75" s="184"/>
      <c r="AK75" s="184"/>
      <c r="AL75" s="188"/>
      <c r="AM75" s="469"/>
      <c r="AN75" s="469"/>
    </row>
    <row r="76" spans="1:40" s="185" customFormat="1" hidden="1" x14ac:dyDescent="0.2">
      <c r="A76" s="364">
        <f t="shared" si="6"/>
        <v>1</v>
      </c>
      <c r="B76" s="226">
        <v>42064</v>
      </c>
      <c r="C76" s="3">
        <v>41518</v>
      </c>
      <c r="D76" s="3">
        <v>10615</v>
      </c>
      <c r="E76" s="3">
        <v>66974</v>
      </c>
      <c r="F76" s="3">
        <v>4226</v>
      </c>
      <c r="G76" s="3">
        <v>163641</v>
      </c>
      <c r="H76" s="3">
        <v>80068</v>
      </c>
      <c r="I76" s="3">
        <v>267714</v>
      </c>
      <c r="J76" s="3">
        <v>368</v>
      </c>
      <c r="K76" s="3">
        <v>450778</v>
      </c>
      <c r="L76" s="3">
        <v>56155</v>
      </c>
      <c r="M76" s="3">
        <v>19925</v>
      </c>
      <c r="N76" s="3">
        <v>14804</v>
      </c>
      <c r="O76" s="3">
        <v>1810</v>
      </c>
      <c r="P76" s="3">
        <v>2984</v>
      </c>
      <c r="Q76" s="3">
        <v>28332</v>
      </c>
      <c r="R76" s="227">
        <f t="shared" si="9"/>
        <v>1209912</v>
      </c>
      <c r="S76" s="5"/>
      <c r="T76" s="5"/>
      <c r="U76" s="5"/>
      <c r="V76" s="184"/>
      <c r="W76" s="184"/>
      <c r="X76" s="184"/>
      <c r="Y76" s="184"/>
      <c r="Z76" s="184"/>
      <c r="AA76" s="184"/>
      <c r="AB76" s="184"/>
      <c r="AC76" s="184"/>
      <c r="AD76" s="184"/>
      <c r="AE76" s="184"/>
      <c r="AF76" s="184"/>
      <c r="AG76" s="184"/>
      <c r="AH76" s="184"/>
      <c r="AI76" s="184"/>
      <c r="AJ76" s="184"/>
      <c r="AK76" s="184"/>
      <c r="AL76" s="187"/>
      <c r="AM76" s="469"/>
      <c r="AN76" s="469"/>
    </row>
    <row r="77" spans="1:40" s="185" customFormat="1" hidden="1" x14ac:dyDescent="0.2">
      <c r="A77" s="364">
        <f t="shared" si="6"/>
        <v>1</v>
      </c>
      <c r="B77" s="226">
        <v>42095</v>
      </c>
      <c r="C77" s="3">
        <v>41621</v>
      </c>
      <c r="D77" s="3">
        <v>10690</v>
      </c>
      <c r="E77" s="3">
        <v>67110</v>
      </c>
      <c r="F77" s="3">
        <v>4161</v>
      </c>
      <c r="G77" s="3">
        <v>165835</v>
      </c>
      <c r="H77" s="3">
        <v>79437</v>
      </c>
      <c r="I77" s="3">
        <v>273043</v>
      </c>
      <c r="J77" s="3">
        <v>361</v>
      </c>
      <c r="K77" s="3">
        <v>455223</v>
      </c>
      <c r="L77" s="3">
        <v>55565</v>
      </c>
      <c r="M77" s="3">
        <v>19982</v>
      </c>
      <c r="N77" s="3">
        <v>14954</v>
      </c>
      <c r="O77" s="3">
        <v>1743</v>
      </c>
      <c r="P77" s="3">
        <v>3096</v>
      </c>
      <c r="Q77" s="3">
        <v>29170</v>
      </c>
      <c r="R77" s="227">
        <f t="shared" si="9"/>
        <v>1221991</v>
      </c>
      <c r="S77" s="5"/>
      <c r="T77" s="5"/>
      <c r="U77" s="5"/>
      <c r="V77" s="184"/>
      <c r="W77" s="184"/>
      <c r="X77" s="184"/>
      <c r="Y77" s="184"/>
      <c r="Z77" s="184"/>
      <c r="AA77" s="184"/>
      <c r="AB77" s="184"/>
      <c r="AC77" s="184"/>
      <c r="AD77" s="184"/>
      <c r="AE77" s="184"/>
      <c r="AF77" s="184"/>
      <c r="AG77" s="184"/>
      <c r="AH77" s="184"/>
      <c r="AI77" s="184"/>
      <c r="AJ77" s="184"/>
      <c r="AK77" s="184"/>
      <c r="AL77" s="187"/>
      <c r="AM77" s="469"/>
      <c r="AN77" s="469"/>
    </row>
    <row r="78" spans="1:40" s="185" customFormat="1" hidden="1" x14ac:dyDescent="0.2">
      <c r="A78" s="364">
        <f t="shared" si="6"/>
        <v>1</v>
      </c>
      <c r="B78" s="226">
        <v>42125</v>
      </c>
      <c r="C78" s="3">
        <v>41778</v>
      </c>
      <c r="D78" s="3">
        <v>10703</v>
      </c>
      <c r="E78" s="3">
        <v>67261</v>
      </c>
      <c r="F78" s="3">
        <v>4279</v>
      </c>
      <c r="G78" s="3">
        <v>167183</v>
      </c>
      <c r="H78" s="3">
        <v>79417</v>
      </c>
      <c r="I78" s="3">
        <v>278709</v>
      </c>
      <c r="J78" s="3">
        <v>358</v>
      </c>
      <c r="K78" s="3">
        <v>456426</v>
      </c>
      <c r="L78" s="3">
        <v>56104</v>
      </c>
      <c r="M78" s="3">
        <v>19945</v>
      </c>
      <c r="N78" s="3">
        <v>14914</v>
      </c>
      <c r="O78" s="3">
        <v>1694</v>
      </c>
      <c r="P78" s="3">
        <v>3070</v>
      </c>
      <c r="Q78" s="3">
        <v>30224</v>
      </c>
      <c r="R78" s="227">
        <f t="shared" si="9"/>
        <v>1232065</v>
      </c>
      <c r="S78" s="5"/>
      <c r="T78" s="470"/>
      <c r="U78" s="5"/>
      <c r="V78" s="184"/>
      <c r="W78" s="184"/>
      <c r="X78" s="184"/>
      <c r="Y78" s="184"/>
      <c r="Z78" s="184"/>
      <c r="AA78" s="184"/>
      <c r="AB78" s="184"/>
      <c r="AC78" s="184"/>
      <c r="AD78" s="184"/>
      <c r="AE78" s="184"/>
      <c r="AF78" s="184"/>
      <c r="AG78" s="184"/>
      <c r="AH78" s="184"/>
      <c r="AI78" s="184"/>
      <c r="AJ78" s="184"/>
      <c r="AK78" s="184"/>
      <c r="AL78" s="187"/>
      <c r="AM78" s="469"/>
      <c r="AN78" s="469"/>
    </row>
    <row r="79" spans="1:40" s="185" customFormat="1" hidden="1" x14ac:dyDescent="0.2">
      <c r="A79" s="364">
        <f t="shared" si="6"/>
        <v>1</v>
      </c>
      <c r="B79" s="226">
        <v>42156</v>
      </c>
      <c r="C79" s="3">
        <v>41849</v>
      </c>
      <c r="D79" s="3">
        <v>10503</v>
      </c>
      <c r="E79" s="3">
        <v>67726</v>
      </c>
      <c r="F79" s="3">
        <v>4509</v>
      </c>
      <c r="G79" s="3">
        <v>169912</v>
      </c>
      <c r="H79" s="3">
        <v>79036</v>
      </c>
      <c r="I79" s="3">
        <v>282910</v>
      </c>
      <c r="J79" s="3">
        <v>352</v>
      </c>
      <c r="K79" s="3">
        <v>457855</v>
      </c>
      <c r="L79" s="3">
        <v>57059</v>
      </c>
      <c r="M79" s="3">
        <v>19791</v>
      </c>
      <c r="N79" s="3">
        <v>14822</v>
      </c>
      <c r="O79" s="3">
        <v>1665</v>
      </c>
      <c r="P79" s="3">
        <v>2885</v>
      </c>
      <c r="Q79" s="3">
        <v>30560</v>
      </c>
      <c r="R79" s="227">
        <f t="shared" si="9"/>
        <v>1241434</v>
      </c>
      <c r="S79" s="5"/>
      <c r="T79" s="470"/>
      <c r="U79" s="5"/>
      <c r="V79" s="184"/>
      <c r="W79" s="184"/>
      <c r="X79" s="184"/>
      <c r="Y79" s="184"/>
      <c r="Z79" s="184"/>
      <c r="AA79" s="184"/>
      <c r="AB79" s="184"/>
      <c r="AC79" s="184"/>
      <c r="AD79" s="184"/>
      <c r="AE79" s="184"/>
      <c r="AF79" s="184"/>
      <c r="AG79" s="184"/>
      <c r="AH79" s="184"/>
      <c r="AI79" s="184"/>
      <c r="AJ79" s="184"/>
      <c r="AK79" s="184"/>
      <c r="AL79" s="188"/>
      <c r="AM79" s="469"/>
      <c r="AN79" s="469"/>
    </row>
    <row r="80" spans="1:40" s="185" customFormat="1" hidden="1" x14ac:dyDescent="0.2">
      <c r="A80" s="364">
        <f t="shared" si="6"/>
        <v>1</v>
      </c>
      <c r="B80" s="230" t="s">
        <v>252</v>
      </c>
      <c r="C80" s="8">
        <f>ROUND(AVERAGE(C68:C79),0)</f>
        <v>41817</v>
      </c>
      <c r="D80" s="8">
        <f t="shared" ref="D80:Q80" si="10">ROUND(AVERAGE(D68:D79),0)</f>
        <v>10466</v>
      </c>
      <c r="E80" s="8">
        <f t="shared" si="10"/>
        <v>66548</v>
      </c>
      <c r="F80" s="8">
        <f t="shared" si="10"/>
        <v>3627</v>
      </c>
      <c r="G80" s="8">
        <f t="shared" si="10"/>
        <v>161682</v>
      </c>
      <c r="H80" s="8">
        <f t="shared" si="10"/>
        <v>71989</v>
      </c>
      <c r="I80" s="8">
        <f>ROUND(AVERAGE(I68:I79),0)</f>
        <v>241392</v>
      </c>
      <c r="J80" s="8">
        <f>ROUND(AVERAGE(J68:J79),0)</f>
        <v>400</v>
      </c>
      <c r="K80" s="8">
        <f>ROUND(AVERAGE(K68:K79),0)</f>
        <v>445723</v>
      </c>
      <c r="L80" s="8">
        <f t="shared" si="10"/>
        <v>50113</v>
      </c>
      <c r="M80" s="8">
        <f t="shared" si="10"/>
        <v>20036</v>
      </c>
      <c r="N80" s="8">
        <f t="shared" si="10"/>
        <v>14897</v>
      </c>
      <c r="O80" s="8">
        <f t="shared" si="10"/>
        <v>1749</v>
      </c>
      <c r="P80" s="8">
        <f t="shared" si="10"/>
        <v>2722</v>
      </c>
      <c r="Q80" s="8">
        <f t="shared" si="10"/>
        <v>28045</v>
      </c>
      <c r="R80" s="231">
        <f t="shared" ref="R80" si="11">SUM(C80:Q80)</f>
        <v>1161206</v>
      </c>
      <c r="S80" s="5"/>
      <c r="T80" s="470"/>
      <c r="U80" s="5"/>
      <c r="V80" s="184"/>
      <c r="W80" s="184"/>
      <c r="X80" s="184"/>
      <c r="Y80" s="184"/>
      <c r="Z80" s="184"/>
      <c r="AA80" s="184"/>
      <c r="AB80" s="184"/>
      <c r="AC80" s="184"/>
      <c r="AD80" s="184"/>
      <c r="AE80" s="184"/>
      <c r="AF80" s="184"/>
      <c r="AG80" s="184"/>
      <c r="AH80" s="184"/>
      <c r="AI80" s="184"/>
      <c r="AJ80" s="184"/>
      <c r="AK80" s="184"/>
      <c r="AL80" s="188"/>
      <c r="AM80" s="469"/>
      <c r="AN80" s="469"/>
    </row>
    <row r="81" spans="1:40" s="185" customFormat="1" x14ac:dyDescent="0.2">
      <c r="A81" s="364">
        <f t="shared" si="6"/>
        <v>1</v>
      </c>
      <c r="B81" s="226">
        <v>42186</v>
      </c>
      <c r="C81" s="3">
        <v>41661</v>
      </c>
      <c r="D81" s="3">
        <v>10437</v>
      </c>
      <c r="E81" s="3">
        <v>72760</v>
      </c>
      <c r="F81" s="3">
        <v>5670</v>
      </c>
      <c r="G81" s="3">
        <v>169316</v>
      </c>
      <c r="H81" s="3">
        <v>79502</v>
      </c>
      <c r="I81" s="3">
        <v>287183</v>
      </c>
      <c r="J81" s="3">
        <v>344</v>
      </c>
      <c r="K81" s="3">
        <v>454996</v>
      </c>
      <c r="L81" s="3">
        <v>56220</v>
      </c>
      <c r="M81" s="3">
        <v>19578</v>
      </c>
      <c r="N81" s="3">
        <v>14627</v>
      </c>
      <c r="O81" s="3">
        <v>1596</v>
      </c>
      <c r="P81" s="3">
        <v>2774</v>
      </c>
      <c r="Q81" s="3">
        <v>30877</v>
      </c>
      <c r="R81" s="227">
        <f t="shared" si="9"/>
        <v>1247541</v>
      </c>
      <c r="S81" s="5"/>
      <c r="T81" s="471"/>
      <c r="U81" s="5"/>
      <c r="V81" s="184"/>
      <c r="W81" s="184"/>
      <c r="X81" s="184"/>
      <c r="Y81" s="184"/>
      <c r="Z81" s="184"/>
      <c r="AA81" s="184"/>
      <c r="AB81" s="184"/>
      <c r="AC81" s="184"/>
      <c r="AD81" s="184"/>
      <c r="AE81" s="184"/>
      <c r="AF81" s="184"/>
      <c r="AG81" s="184"/>
      <c r="AH81" s="184"/>
      <c r="AI81" s="184"/>
      <c r="AJ81" s="184"/>
      <c r="AK81" s="184"/>
      <c r="AL81" s="188"/>
      <c r="AM81" s="469"/>
      <c r="AN81" s="469"/>
    </row>
    <row r="82" spans="1:40" s="185" customFormat="1" x14ac:dyDescent="0.2">
      <c r="A82" s="364">
        <f t="shared" si="6"/>
        <v>1</v>
      </c>
      <c r="B82" s="226">
        <v>42217</v>
      </c>
      <c r="C82" s="3">
        <v>41909</v>
      </c>
      <c r="D82" s="3">
        <v>10423</v>
      </c>
      <c r="E82" s="3">
        <v>71167</v>
      </c>
      <c r="F82" s="3">
        <v>9733</v>
      </c>
      <c r="G82" s="3">
        <v>169140</v>
      </c>
      <c r="H82" s="3">
        <v>81001</v>
      </c>
      <c r="I82" s="3">
        <v>293155</v>
      </c>
      <c r="J82" s="3">
        <v>342</v>
      </c>
      <c r="K82" s="3">
        <v>457343</v>
      </c>
      <c r="L82" s="3">
        <v>57355</v>
      </c>
      <c r="M82" s="3">
        <v>19676</v>
      </c>
      <c r="N82" s="3">
        <v>14466</v>
      </c>
      <c r="O82" s="3">
        <v>1615</v>
      </c>
      <c r="P82" s="3">
        <v>2699</v>
      </c>
      <c r="Q82" s="3">
        <v>31244</v>
      </c>
      <c r="R82" s="227">
        <f t="shared" ref="R82:R87" si="12">SUM(C82:Q82)</f>
        <v>1261268</v>
      </c>
      <c r="S82" s="5"/>
      <c r="T82" s="471"/>
      <c r="U82" s="5"/>
      <c r="V82" s="184"/>
      <c r="W82" s="184"/>
      <c r="X82" s="184"/>
      <c r="Y82" s="184"/>
      <c r="Z82" s="184"/>
      <c r="AA82" s="184"/>
      <c r="AB82" s="184"/>
      <c r="AC82" s="184"/>
      <c r="AD82" s="184"/>
      <c r="AE82" s="184"/>
      <c r="AF82" s="184"/>
      <c r="AG82" s="184"/>
      <c r="AH82" s="184"/>
      <c r="AI82" s="184"/>
      <c r="AJ82" s="184"/>
      <c r="AK82" s="184"/>
      <c r="AL82" s="188"/>
      <c r="AM82" s="469"/>
      <c r="AN82" s="469"/>
    </row>
    <row r="83" spans="1:40" s="185" customFormat="1" x14ac:dyDescent="0.2">
      <c r="A83" s="364">
        <f t="shared" si="6"/>
        <v>1</v>
      </c>
      <c r="B83" s="226">
        <v>42248</v>
      </c>
      <c r="C83" s="3">
        <v>42134</v>
      </c>
      <c r="D83" s="3">
        <v>10348</v>
      </c>
      <c r="E83" s="3">
        <v>68765</v>
      </c>
      <c r="F83" s="3">
        <v>10175</v>
      </c>
      <c r="G83" s="3">
        <v>169127</v>
      </c>
      <c r="H83" s="3">
        <v>82010</v>
      </c>
      <c r="I83" s="3">
        <v>297680</v>
      </c>
      <c r="J83" s="3">
        <v>342</v>
      </c>
      <c r="K83" s="3">
        <v>461317</v>
      </c>
      <c r="L83" s="3">
        <v>58330</v>
      </c>
      <c r="M83" s="3">
        <v>19776</v>
      </c>
      <c r="N83" s="3">
        <v>14204</v>
      </c>
      <c r="O83" s="3">
        <v>1614</v>
      </c>
      <c r="P83" s="3">
        <v>2635</v>
      </c>
      <c r="Q83" s="3">
        <v>31278</v>
      </c>
      <c r="R83" s="227">
        <f t="shared" si="12"/>
        <v>1269735</v>
      </c>
      <c r="S83" s="5"/>
      <c r="T83" s="471"/>
      <c r="U83" s="5"/>
      <c r="V83" s="184"/>
      <c r="W83" s="184"/>
      <c r="X83" s="184"/>
      <c r="Y83" s="184"/>
      <c r="Z83" s="184"/>
      <c r="AA83" s="184"/>
      <c r="AB83" s="184"/>
      <c r="AC83" s="184"/>
      <c r="AD83" s="184"/>
      <c r="AE83" s="184"/>
      <c r="AF83" s="184"/>
      <c r="AG83" s="184"/>
      <c r="AH83" s="184"/>
      <c r="AI83" s="184"/>
      <c r="AJ83" s="184"/>
      <c r="AK83" s="184"/>
      <c r="AL83" s="188"/>
      <c r="AM83" s="469"/>
      <c r="AN83" s="469"/>
    </row>
    <row r="84" spans="1:40" s="185" customFormat="1" x14ac:dyDescent="0.2">
      <c r="A84" s="364">
        <f t="shared" si="6"/>
        <v>1</v>
      </c>
      <c r="B84" s="226">
        <v>42278</v>
      </c>
      <c r="C84" s="3">
        <v>41817</v>
      </c>
      <c r="D84" s="3">
        <v>10190</v>
      </c>
      <c r="E84" s="3">
        <v>68576</v>
      </c>
      <c r="F84" s="3">
        <v>6030</v>
      </c>
      <c r="G84" s="3">
        <v>167734</v>
      </c>
      <c r="H84" s="3">
        <v>82642</v>
      </c>
      <c r="I84" s="3">
        <v>302362</v>
      </c>
      <c r="J84" s="3">
        <v>336</v>
      </c>
      <c r="K84" s="3">
        <v>466623</v>
      </c>
      <c r="L84" s="3">
        <v>58336</v>
      </c>
      <c r="M84" s="3">
        <v>19814</v>
      </c>
      <c r="N84" s="3">
        <v>13139</v>
      </c>
      <c r="O84" s="3">
        <v>1568</v>
      </c>
      <c r="P84" s="3">
        <v>2491</v>
      </c>
      <c r="Q84" s="3">
        <v>31293</v>
      </c>
      <c r="R84" s="227">
        <f t="shared" si="12"/>
        <v>1272951</v>
      </c>
      <c r="S84" s="5"/>
      <c r="T84" s="471"/>
      <c r="U84" s="5"/>
      <c r="V84" s="184"/>
      <c r="W84" s="184"/>
      <c r="X84" s="184"/>
      <c r="Y84" s="184"/>
      <c r="Z84" s="184"/>
      <c r="AA84" s="184"/>
      <c r="AB84" s="184"/>
      <c r="AC84" s="184"/>
      <c r="AD84" s="184"/>
      <c r="AE84" s="184"/>
      <c r="AF84" s="184"/>
      <c r="AG84" s="184"/>
      <c r="AH84" s="184"/>
      <c r="AI84" s="184"/>
      <c r="AJ84" s="184"/>
      <c r="AK84" s="184"/>
      <c r="AL84" s="188"/>
      <c r="AM84" s="469"/>
      <c r="AN84" s="469"/>
    </row>
    <row r="85" spans="1:40" s="185" customFormat="1" x14ac:dyDescent="0.2">
      <c r="A85" s="364">
        <f t="shared" si="6"/>
        <v>1</v>
      </c>
      <c r="B85" s="226">
        <v>42309</v>
      </c>
      <c r="C85" s="3">
        <v>42456</v>
      </c>
      <c r="D85" s="3">
        <v>10429</v>
      </c>
      <c r="E85" s="3">
        <v>69113</v>
      </c>
      <c r="F85" s="3">
        <v>5539</v>
      </c>
      <c r="G85" s="3">
        <v>162975</v>
      </c>
      <c r="H85" s="3">
        <v>85784</v>
      </c>
      <c r="I85" s="3">
        <v>310294</v>
      </c>
      <c r="J85" s="3">
        <v>324</v>
      </c>
      <c r="K85" s="3">
        <v>466734</v>
      </c>
      <c r="L85" s="3">
        <v>59640</v>
      </c>
      <c r="M85" s="3">
        <v>19936</v>
      </c>
      <c r="N85" s="3">
        <v>14428</v>
      </c>
      <c r="O85" s="3">
        <v>1743</v>
      </c>
      <c r="P85" s="3">
        <v>2605</v>
      </c>
      <c r="Q85" s="3">
        <v>31903</v>
      </c>
      <c r="R85" s="227">
        <f t="shared" si="12"/>
        <v>1283903</v>
      </c>
      <c r="S85" s="5"/>
      <c r="T85" s="471"/>
      <c r="U85" s="5"/>
      <c r="V85" s="184"/>
      <c r="W85" s="184"/>
      <c r="X85" s="184"/>
      <c r="Y85" s="184"/>
      <c r="Z85" s="184"/>
      <c r="AA85" s="184"/>
      <c r="AB85" s="184"/>
      <c r="AC85" s="184"/>
      <c r="AD85" s="184"/>
      <c r="AE85" s="184"/>
      <c r="AF85" s="184"/>
      <c r="AG85" s="184"/>
      <c r="AH85" s="184"/>
      <c r="AI85" s="184"/>
      <c r="AJ85" s="184"/>
      <c r="AK85" s="184"/>
      <c r="AL85" s="188"/>
      <c r="AM85" s="469"/>
      <c r="AN85" s="469"/>
    </row>
    <row r="86" spans="1:40" s="185" customFormat="1" x14ac:dyDescent="0.2">
      <c r="A86" s="364">
        <f t="shared" si="6"/>
        <v>1</v>
      </c>
      <c r="B86" s="226">
        <v>42339</v>
      </c>
      <c r="C86" s="3">
        <v>42628</v>
      </c>
      <c r="D86" s="3">
        <v>10451</v>
      </c>
      <c r="E86" s="3">
        <v>68813</v>
      </c>
      <c r="F86" s="3">
        <v>5717</v>
      </c>
      <c r="G86" s="3">
        <v>163088</v>
      </c>
      <c r="H86" s="3">
        <v>87548</v>
      </c>
      <c r="I86" s="3">
        <f>320248-155</f>
        <v>320093</v>
      </c>
      <c r="J86" s="3">
        <f>163+155</f>
        <v>318</v>
      </c>
      <c r="K86" s="3">
        <v>469009</v>
      </c>
      <c r="L86" s="3">
        <v>59867</v>
      </c>
      <c r="M86" s="3">
        <v>19975</v>
      </c>
      <c r="N86" s="3">
        <v>14252</v>
      </c>
      <c r="O86" s="3">
        <v>1846</v>
      </c>
      <c r="P86" s="3">
        <v>2616</v>
      </c>
      <c r="Q86" s="3">
        <v>32143</v>
      </c>
      <c r="R86" s="227">
        <f t="shared" si="12"/>
        <v>1298364</v>
      </c>
      <c r="S86" s="5"/>
      <c r="T86" s="471"/>
      <c r="U86" s="5"/>
      <c r="V86" s="184"/>
      <c r="W86" s="184"/>
      <c r="X86" s="184"/>
      <c r="Y86" s="184"/>
      <c r="Z86" s="184"/>
      <c r="AA86" s="184"/>
      <c r="AB86" s="184"/>
      <c r="AC86" s="184"/>
      <c r="AD86" s="184"/>
      <c r="AE86" s="184"/>
      <c r="AF86" s="184"/>
      <c r="AG86" s="184"/>
      <c r="AH86" s="184"/>
      <c r="AI86" s="184"/>
      <c r="AJ86" s="184"/>
      <c r="AK86" s="184"/>
      <c r="AL86" s="188"/>
      <c r="AM86" s="469"/>
      <c r="AN86" s="469"/>
    </row>
    <row r="87" spans="1:40" s="185" customFormat="1" x14ac:dyDescent="0.2">
      <c r="A87" s="364">
        <f t="shared" si="6"/>
        <v>1</v>
      </c>
      <c r="B87" s="226">
        <v>42370</v>
      </c>
      <c r="C87" s="3">
        <v>42301</v>
      </c>
      <c r="D87" s="3">
        <v>10462</v>
      </c>
      <c r="E87" s="3">
        <v>67571</v>
      </c>
      <c r="F87" s="3">
        <v>5311</v>
      </c>
      <c r="G87" s="3">
        <v>162764</v>
      </c>
      <c r="H87" s="3">
        <v>88891</v>
      </c>
      <c r="I87" s="3">
        <v>327653</v>
      </c>
      <c r="J87" s="3">
        <v>314</v>
      </c>
      <c r="K87" s="3">
        <v>470109</v>
      </c>
      <c r="L87" s="3">
        <v>59934</v>
      </c>
      <c r="M87" s="3">
        <v>19987</v>
      </c>
      <c r="N87" s="3">
        <v>14399</v>
      </c>
      <c r="O87" s="3">
        <v>1811</v>
      </c>
      <c r="P87" s="3">
        <v>2593</v>
      </c>
      <c r="Q87" s="3">
        <v>33921</v>
      </c>
      <c r="R87" s="227">
        <f t="shared" si="12"/>
        <v>1308021</v>
      </c>
      <c r="S87" s="5"/>
      <c r="T87" s="471"/>
      <c r="U87" s="5"/>
      <c r="V87" s="184"/>
      <c r="W87" s="184"/>
      <c r="X87" s="184"/>
      <c r="Y87" s="184"/>
      <c r="Z87" s="184"/>
      <c r="AA87" s="184"/>
      <c r="AB87" s="184"/>
      <c r="AC87" s="184"/>
      <c r="AD87" s="184"/>
      <c r="AE87" s="184"/>
      <c r="AF87" s="184"/>
      <c r="AG87" s="184"/>
      <c r="AH87" s="184"/>
      <c r="AI87" s="184"/>
      <c r="AJ87" s="184"/>
      <c r="AK87" s="184"/>
      <c r="AL87" s="188"/>
      <c r="AM87" s="469"/>
      <c r="AN87" s="469"/>
    </row>
    <row r="88" spans="1:40" s="185" customFormat="1" x14ac:dyDescent="0.2">
      <c r="A88" s="364">
        <f t="shared" si="6"/>
        <v>1</v>
      </c>
      <c r="B88" s="226">
        <v>42401</v>
      </c>
      <c r="C88" s="3">
        <v>42504</v>
      </c>
      <c r="D88" s="3">
        <v>10531</v>
      </c>
      <c r="E88" s="3">
        <v>67298</v>
      </c>
      <c r="F88" s="3">
        <v>5393</v>
      </c>
      <c r="G88" s="3">
        <v>162650</v>
      </c>
      <c r="H88" s="3">
        <v>89610</v>
      </c>
      <c r="I88" s="3">
        <v>331622</v>
      </c>
      <c r="J88" s="3">
        <v>310</v>
      </c>
      <c r="K88" s="3">
        <v>470758</v>
      </c>
      <c r="L88" s="3">
        <v>59950</v>
      </c>
      <c r="M88" s="3">
        <v>19963</v>
      </c>
      <c r="N88" s="3">
        <v>14381</v>
      </c>
      <c r="O88" s="3">
        <v>1846</v>
      </c>
      <c r="P88" s="3">
        <v>2631</v>
      </c>
      <c r="Q88" s="3">
        <v>33939</v>
      </c>
      <c r="R88" s="227">
        <f>SUM(C88:Q88)</f>
        <v>1313386</v>
      </c>
      <c r="S88" s="5"/>
      <c r="T88" s="471"/>
      <c r="U88" s="5"/>
      <c r="V88" s="184"/>
      <c r="W88" s="184"/>
      <c r="X88" s="184"/>
      <c r="Y88" s="184"/>
      <c r="Z88" s="184"/>
      <c r="AA88" s="184"/>
      <c r="AB88" s="184"/>
      <c r="AC88" s="184"/>
      <c r="AD88" s="184"/>
      <c r="AE88" s="184"/>
      <c r="AF88" s="184"/>
      <c r="AG88" s="184"/>
      <c r="AH88" s="184"/>
      <c r="AI88" s="184"/>
      <c r="AJ88" s="184"/>
      <c r="AK88" s="184"/>
      <c r="AL88" s="188"/>
      <c r="AM88" s="469"/>
      <c r="AN88" s="469"/>
    </row>
    <row r="89" spans="1:40" s="185" customFormat="1" x14ac:dyDescent="0.2">
      <c r="A89" s="364">
        <f t="shared" si="6"/>
        <v>1</v>
      </c>
      <c r="B89" s="226">
        <v>42430</v>
      </c>
      <c r="C89" s="3">
        <v>42733</v>
      </c>
      <c r="D89" s="3">
        <v>10664</v>
      </c>
      <c r="E89" s="3">
        <v>67979</v>
      </c>
      <c r="F89" s="3">
        <v>5424</v>
      </c>
      <c r="G89" s="3">
        <v>163417</v>
      </c>
      <c r="H89" s="3">
        <v>90244</v>
      </c>
      <c r="I89" s="3">
        <v>335451</v>
      </c>
      <c r="J89" s="3">
        <v>311</v>
      </c>
      <c r="K89" s="3">
        <v>472221</v>
      </c>
      <c r="L89" s="3">
        <v>60614</v>
      </c>
      <c r="M89" s="3">
        <v>20028</v>
      </c>
      <c r="N89" s="3">
        <v>14619</v>
      </c>
      <c r="O89" s="3">
        <v>1856</v>
      </c>
      <c r="P89" s="3">
        <v>2722</v>
      </c>
      <c r="Q89" s="3">
        <v>33442</v>
      </c>
      <c r="R89" s="227">
        <f>SUM(C89:Q89)</f>
        <v>1321725</v>
      </c>
      <c r="S89" s="5"/>
      <c r="T89" s="471"/>
      <c r="U89" s="5"/>
      <c r="V89" s="184"/>
      <c r="W89" s="184"/>
      <c r="X89" s="184"/>
      <c r="Y89" s="184"/>
      <c r="Z89" s="184"/>
      <c r="AA89" s="184"/>
      <c r="AB89" s="184"/>
      <c r="AC89" s="184"/>
      <c r="AD89" s="184"/>
      <c r="AE89" s="184"/>
      <c r="AF89" s="184"/>
      <c r="AG89" s="184"/>
      <c r="AH89" s="184"/>
      <c r="AI89" s="184"/>
      <c r="AJ89" s="184"/>
      <c r="AK89" s="184"/>
      <c r="AL89" s="188"/>
      <c r="AM89" s="469"/>
      <c r="AN89" s="469"/>
    </row>
    <row r="90" spans="1:40" s="185" customFormat="1" x14ac:dyDescent="0.2">
      <c r="A90" s="364">
        <f t="shared" si="6"/>
        <v>1</v>
      </c>
      <c r="B90" s="226">
        <v>42461</v>
      </c>
      <c r="C90" s="3">
        <v>42778</v>
      </c>
      <c r="D90" s="3">
        <v>10749</v>
      </c>
      <c r="E90" s="3">
        <v>67828</v>
      </c>
      <c r="F90" s="3">
        <v>5192</v>
      </c>
      <c r="G90" s="3">
        <v>161967</v>
      </c>
      <c r="H90" s="3">
        <v>90644</v>
      </c>
      <c r="I90" s="3">
        <v>340862</v>
      </c>
      <c r="J90" s="3">
        <v>308</v>
      </c>
      <c r="K90" s="3">
        <v>472964</v>
      </c>
      <c r="L90" s="3">
        <v>60790</v>
      </c>
      <c r="M90" s="3">
        <v>20133</v>
      </c>
      <c r="N90" s="3">
        <v>14675</v>
      </c>
      <c r="O90" s="3">
        <v>1846</v>
      </c>
      <c r="P90" s="3">
        <v>2675</v>
      </c>
      <c r="Q90" s="3">
        <v>33478</v>
      </c>
      <c r="R90" s="227">
        <f>SUM(C90:Q90)</f>
        <v>1326889</v>
      </c>
      <c r="S90" s="5"/>
      <c r="T90" s="471"/>
      <c r="U90" s="5"/>
      <c r="V90" s="184"/>
      <c r="W90" s="184"/>
      <c r="X90" s="184"/>
      <c r="Y90" s="184"/>
      <c r="Z90" s="184"/>
      <c r="AA90" s="184"/>
      <c r="AB90" s="184"/>
      <c r="AC90" s="184"/>
      <c r="AD90" s="184"/>
      <c r="AE90" s="184"/>
      <c r="AF90" s="184"/>
      <c r="AG90" s="184"/>
      <c r="AH90" s="184"/>
      <c r="AI90" s="184"/>
      <c r="AJ90" s="184"/>
      <c r="AK90" s="184"/>
      <c r="AL90" s="188"/>
      <c r="AM90" s="469"/>
      <c r="AN90" s="469"/>
    </row>
    <row r="91" spans="1:40" s="185" customFormat="1" x14ac:dyDescent="0.2">
      <c r="A91" s="364">
        <f t="shared" si="6"/>
        <v>1</v>
      </c>
      <c r="B91" s="226">
        <v>42491</v>
      </c>
      <c r="C91" s="3">
        <v>42900</v>
      </c>
      <c r="D91" s="3">
        <v>10788</v>
      </c>
      <c r="E91" s="3">
        <v>67842</v>
      </c>
      <c r="F91" s="3">
        <v>5152</v>
      </c>
      <c r="G91" s="3">
        <v>155252</v>
      </c>
      <c r="H91" s="3">
        <v>92385</v>
      </c>
      <c r="I91" s="3">
        <v>347731</v>
      </c>
      <c r="J91" s="3">
        <v>308</v>
      </c>
      <c r="K91" s="3">
        <v>472199</v>
      </c>
      <c r="L91" s="3">
        <v>61169</v>
      </c>
      <c r="M91" s="3">
        <v>20196</v>
      </c>
      <c r="N91" s="3">
        <v>14884</v>
      </c>
      <c r="O91" s="3">
        <v>1870</v>
      </c>
      <c r="P91" s="3">
        <v>2707</v>
      </c>
      <c r="Q91" s="3">
        <v>33693</v>
      </c>
      <c r="R91" s="227">
        <f>SUM(C91:Q91)</f>
        <v>1329076</v>
      </c>
      <c r="S91" s="5"/>
      <c r="T91" s="471"/>
      <c r="U91" s="5"/>
      <c r="V91" s="184"/>
      <c r="W91" s="184"/>
      <c r="X91" s="184"/>
      <c r="Y91" s="184"/>
      <c r="Z91" s="184"/>
      <c r="AA91" s="184"/>
      <c r="AB91" s="184"/>
      <c r="AC91" s="184"/>
      <c r="AD91" s="184"/>
      <c r="AE91" s="184"/>
      <c r="AF91" s="184"/>
      <c r="AG91" s="184"/>
      <c r="AH91" s="184"/>
      <c r="AI91" s="184"/>
      <c r="AJ91" s="184"/>
      <c r="AK91" s="184"/>
      <c r="AL91" s="188"/>
      <c r="AM91" s="469"/>
      <c r="AN91" s="469"/>
    </row>
    <row r="92" spans="1:40" s="185" customFormat="1" x14ac:dyDescent="0.2">
      <c r="A92" s="364">
        <f t="shared" si="6"/>
        <v>1</v>
      </c>
      <c r="B92" s="226">
        <v>42522</v>
      </c>
      <c r="C92" s="3">
        <v>43015</v>
      </c>
      <c r="D92" s="3">
        <v>10876</v>
      </c>
      <c r="E92" s="3">
        <v>67891</v>
      </c>
      <c r="F92" s="3">
        <v>5265</v>
      </c>
      <c r="G92" s="3">
        <v>152679</v>
      </c>
      <c r="H92" s="3">
        <v>93307</v>
      </c>
      <c r="I92" s="3">
        <v>350396</v>
      </c>
      <c r="J92" s="3">
        <v>304</v>
      </c>
      <c r="K92" s="3">
        <v>472050</v>
      </c>
      <c r="L92" s="3">
        <v>61808</v>
      </c>
      <c r="M92" s="3">
        <v>20162</v>
      </c>
      <c r="N92" s="3">
        <v>14883</v>
      </c>
      <c r="O92" s="3">
        <v>1893</v>
      </c>
      <c r="P92" s="3">
        <v>2635</v>
      </c>
      <c r="Q92" s="3">
        <v>33813</v>
      </c>
      <c r="R92" s="227">
        <f>SUM(C92:Q92)</f>
        <v>1330977</v>
      </c>
      <c r="S92" s="5"/>
      <c r="T92" s="471"/>
      <c r="U92" s="5"/>
      <c r="V92" s="184"/>
      <c r="W92" s="184"/>
      <c r="X92" s="184"/>
      <c r="Y92" s="184"/>
      <c r="Z92" s="184"/>
      <c r="AA92" s="184"/>
      <c r="AB92" s="184"/>
      <c r="AC92" s="184"/>
      <c r="AD92" s="184"/>
      <c r="AE92" s="184"/>
      <c r="AF92" s="184"/>
      <c r="AG92" s="184"/>
      <c r="AH92" s="184"/>
      <c r="AI92" s="184"/>
      <c r="AJ92" s="184"/>
      <c r="AK92" s="184"/>
      <c r="AL92" s="188"/>
      <c r="AM92" s="469"/>
      <c r="AN92" s="469"/>
    </row>
    <row r="93" spans="1:40" s="185" customFormat="1" x14ac:dyDescent="0.2">
      <c r="A93" s="364">
        <f t="shared" si="6"/>
        <v>1</v>
      </c>
      <c r="B93" s="230" t="s">
        <v>294</v>
      </c>
      <c r="C93" s="8">
        <f>ROUND(AVERAGE(C81:C92),0)</f>
        <v>42403</v>
      </c>
      <c r="D93" s="8">
        <f t="shared" ref="D93:Q93" si="13">ROUND(AVERAGE(D81:D92),0)</f>
        <v>10529</v>
      </c>
      <c r="E93" s="8">
        <f t="shared" si="13"/>
        <v>68800</v>
      </c>
      <c r="F93" s="8">
        <f t="shared" si="13"/>
        <v>6217</v>
      </c>
      <c r="G93" s="8">
        <f t="shared" si="13"/>
        <v>163342</v>
      </c>
      <c r="H93" s="8">
        <f t="shared" si="13"/>
        <v>86964</v>
      </c>
      <c r="I93" s="8">
        <f>ROUND(AVERAGE(I81:I92),0)</f>
        <v>320374</v>
      </c>
      <c r="J93" s="8">
        <f>ROUND(AVERAGE(J81:J92),0)</f>
        <v>322</v>
      </c>
      <c r="K93" s="8">
        <f>ROUNDDOWN(AVERAGE(K81:K92),0)</f>
        <v>467193</v>
      </c>
      <c r="L93" s="8">
        <f t="shared" si="13"/>
        <v>59501</v>
      </c>
      <c r="M93" s="8">
        <f t="shared" si="13"/>
        <v>19935</v>
      </c>
      <c r="N93" s="8">
        <f t="shared" si="13"/>
        <v>14413</v>
      </c>
      <c r="O93" s="8">
        <f t="shared" si="13"/>
        <v>1759</v>
      </c>
      <c r="P93" s="8">
        <f t="shared" si="13"/>
        <v>2649</v>
      </c>
      <c r="Q93" s="8">
        <f t="shared" si="13"/>
        <v>32585</v>
      </c>
      <c r="R93" s="231">
        <f t="shared" ref="R93" si="14">SUM(C93:Q93)</f>
        <v>1296986</v>
      </c>
      <c r="S93" s="5"/>
      <c r="T93" s="470"/>
      <c r="U93" s="5"/>
      <c r="V93" s="184"/>
      <c r="W93" s="184"/>
      <c r="X93" s="184"/>
      <c r="Y93" s="184"/>
      <c r="Z93" s="184"/>
      <c r="AA93" s="184"/>
      <c r="AB93" s="184"/>
      <c r="AC93" s="184"/>
      <c r="AD93" s="184"/>
      <c r="AE93" s="184"/>
      <c r="AF93" s="184"/>
      <c r="AG93" s="184"/>
      <c r="AH93" s="184"/>
      <c r="AI93" s="184"/>
      <c r="AJ93" s="184"/>
      <c r="AK93" s="184"/>
      <c r="AL93" s="188"/>
      <c r="AM93" s="469"/>
      <c r="AN93" s="469"/>
    </row>
    <row r="94" spans="1:40" s="185" customFormat="1" x14ac:dyDescent="0.2">
      <c r="A94" s="364">
        <f t="shared" si="6"/>
        <v>1</v>
      </c>
      <c r="B94" s="226">
        <v>42552</v>
      </c>
      <c r="C94" s="3">
        <v>43104</v>
      </c>
      <c r="D94" s="3">
        <v>10931</v>
      </c>
      <c r="E94" s="3">
        <v>67836</v>
      </c>
      <c r="F94" s="3">
        <v>5334</v>
      </c>
      <c r="G94" s="3">
        <v>150888</v>
      </c>
      <c r="H94" s="3">
        <v>90622</v>
      </c>
      <c r="I94" s="3">
        <v>351908</v>
      </c>
      <c r="J94" s="3">
        <v>313</v>
      </c>
      <c r="K94" s="3">
        <v>470963</v>
      </c>
      <c r="L94" s="3">
        <v>62982</v>
      </c>
      <c r="M94" s="3">
        <v>20118</v>
      </c>
      <c r="N94" s="3">
        <v>14896</v>
      </c>
      <c r="O94" s="3">
        <v>1883</v>
      </c>
      <c r="P94" s="3">
        <v>2630</v>
      </c>
      <c r="Q94" s="3">
        <v>33512</v>
      </c>
      <c r="R94" s="227">
        <f t="shared" ref="R94:R112" si="15">SUM(C94:Q94)</f>
        <v>1327920</v>
      </c>
      <c r="S94" s="5"/>
      <c r="T94" s="471"/>
      <c r="U94" s="614"/>
      <c r="V94" s="184"/>
      <c r="W94" s="184"/>
      <c r="X94" s="184"/>
      <c r="Y94" s="184"/>
      <c r="Z94" s="184"/>
      <c r="AA94" s="184"/>
      <c r="AB94" s="184"/>
      <c r="AC94" s="184"/>
      <c r="AD94" s="184"/>
      <c r="AE94" s="184"/>
      <c r="AF94" s="184"/>
      <c r="AG94" s="184"/>
      <c r="AH94" s="184"/>
      <c r="AI94" s="184"/>
      <c r="AJ94" s="184"/>
      <c r="AK94" s="184"/>
      <c r="AL94" s="188"/>
      <c r="AM94" s="469"/>
      <c r="AN94" s="469"/>
    </row>
    <row r="95" spans="1:40" s="185" customFormat="1" x14ac:dyDescent="0.2">
      <c r="A95" s="364">
        <f t="shared" si="6"/>
        <v>1</v>
      </c>
      <c r="B95" s="226">
        <v>42583</v>
      </c>
      <c r="C95" s="3">
        <v>43374</v>
      </c>
      <c r="D95" s="3">
        <v>11011</v>
      </c>
      <c r="E95" s="3">
        <v>67906</v>
      </c>
      <c r="F95" s="3">
        <v>5452</v>
      </c>
      <c r="G95" s="3">
        <v>150673</v>
      </c>
      <c r="H95" s="3">
        <v>91044</v>
      </c>
      <c r="I95" s="3">
        <v>359971</v>
      </c>
      <c r="J95" s="3">
        <v>310</v>
      </c>
      <c r="K95" s="3">
        <v>471980</v>
      </c>
      <c r="L95" s="3">
        <v>63715</v>
      </c>
      <c r="M95" s="3">
        <v>20203</v>
      </c>
      <c r="N95" s="3">
        <v>14911</v>
      </c>
      <c r="O95" s="3">
        <v>1872</v>
      </c>
      <c r="P95" s="3">
        <v>2634</v>
      </c>
      <c r="Q95" s="3">
        <v>33636</v>
      </c>
      <c r="R95" s="227">
        <f t="shared" si="15"/>
        <v>1338692</v>
      </c>
      <c r="S95" s="5"/>
      <c r="T95" s="471"/>
      <c r="U95" s="614"/>
      <c r="V95" s="184"/>
      <c r="W95" s="184"/>
      <c r="X95" s="184"/>
      <c r="Y95" s="184"/>
      <c r="Z95" s="184"/>
      <c r="AA95" s="184"/>
      <c r="AB95" s="184"/>
      <c r="AC95" s="184"/>
      <c r="AD95" s="184"/>
      <c r="AE95" s="184"/>
      <c r="AF95" s="184"/>
      <c r="AG95" s="184"/>
      <c r="AH95" s="184"/>
      <c r="AI95" s="184"/>
      <c r="AJ95" s="184"/>
      <c r="AK95" s="184"/>
      <c r="AL95" s="188"/>
      <c r="AM95" s="469"/>
      <c r="AN95" s="469"/>
    </row>
    <row r="96" spans="1:40" s="185" customFormat="1" x14ac:dyDescent="0.2">
      <c r="A96" s="364">
        <f t="shared" si="6"/>
        <v>1</v>
      </c>
      <c r="B96" s="226">
        <v>42614</v>
      </c>
      <c r="C96" s="3">
        <v>43633</v>
      </c>
      <c r="D96" s="3">
        <v>11039</v>
      </c>
      <c r="E96" s="3">
        <v>68043</v>
      </c>
      <c r="F96" s="3">
        <v>5598</v>
      </c>
      <c r="G96" s="3">
        <v>151271</v>
      </c>
      <c r="H96" s="3">
        <v>90010</v>
      </c>
      <c r="I96" s="3">
        <v>356125</v>
      </c>
      <c r="J96" s="3">
        <v>311</v>
      </c>
      <c r="K96" s="3">
        <v>471754</v>
      </c>
      <c r="L96" s="3">
        <v>64431</v>
      </c>
      <c r="M96" s="3">
        <v>20296</v>
      </c>
      <c r="N96" s="3">
        <v>14401</v>
      </c>
      <c r="O96" s="3">
        <v>1797</v>
      </c>
      <c r="P96" s="3">
        <v>2571</v>
      </c>
      <c r="Q96" s="3">
        <v>33623</v>
      </c>
      <c r="R96" s="227">
        <f t="shared" si="15"/>
        <v>1334903</v>
      </c>
      <c r="S96" s="5"/>
      <c r="T96" s="471"/>
      <c r="U96" s="614"/>
      <c r="V96" s="184"/>
      <c r="W96" s="184"/>
      <c r="X96" s="184"/>
      <c r="Y96" s="184"/>
      <c r="Z96" s="184"/>
      <c r="AA96" s="184"/>
      <c r="AB96" s="184"/>
      <c r="AC96" s="184"/>
      <c r="AD96" s="184"/>
      <c r="AE96" s="184"/>
      <c r="AF96" s="184"/>
      <c r="AG96" s="184"/>
      <c r="AH96" s="184"/>
      <c r="AI96" s="184"/>
      <c r="AJ96" s="184"/>
      <c r="AK96" s="184"/>
      <c r="AL96" s="188"/>
      <c r="AM96" s="469"/>
      <c r="AN96" s="469"/>
    </row>
    <row r="97" spans="1:40" s="185" customFormat="1" x14ac:dyDescent="0.2">
      <c r="A97" s="364">
        <f t="shared" si="6"/>
        <v>1</v>
      </c>
      <c r="B97" s="226">
        <v>42644</v>
      </c>
      <c r="C97" s="3">
        <v>43725</v>
      </c>
      <c r="D97" s="3">
        <v>11131</v>
      </c>
      <c r="E97" s="3">
        <v>67951</v>
      </c>
      <c r="F97" s="3">
        <v>5825</v>
      </c>
      <c r="G97" s="3">
        <v>153579</v>
      </c>
      <c r="H97" s="3">
        <v>88537</v>
      </c>
      <c r="I97" s="3">
        <v>353370</v>
      </c>
      <c r="J97" s="3">
        <v>312</v>
      </c>
      <c r="K97" s="3">
        <v>471116</v>
      </c>
      <c r="L97" s="3">
        <v>64454</v>
      </c>
      <c r="M97" s="3">
        <v>20260</v>
      </c>
      <c r="N97" s="3">
        <v>14168</v>
      </c>
      <c r="O97" s="3">
        <v>1790</v>
      </c>
      <c r="P97" s="3">
        <v>2455</v>
      </c>
      <c r="Q97" s="3">
        <v>33461</v>
      </c>
      <c r="R97" s="227">
        <f t="shared" si="15"/>
        <v>1332134</v>
      </c>
      <c r="S97" s="5"/>
      <c r="T97" s="471"/>
      <c r="U97" s="614"/>
      <c r="V97" s="184"/>
      <c r="W97" s="184"/>
      <c r="X97" s="184"/>
      <c r="Y97" s="184"/>
      <c r="Z97" s="184"/>
      <c r="AA97" s="184"/>
      <c r="AB97" s="184"/>
      <c r="AC97" s="184"/>
      <c r="AD97" s="184"/>
      <c r="AE97" s="184"/>
      <c r="AF97" s="184"/>
      <c r="AG97" s="184"/>
      <c r="AH97" s="184"/>
      <c r="AI97" s="184"/>
      <c r="AJ97" s="184"/>
      <c r="AK97" s="184"/>
      <c r="AL97" s="188"/>
      <c r="AM97" s="469"/>
      <c r="AN97" s="469"/>
    </row>
    <row r="98" spans="1:40" s="185" customFormat="1" x14ac:dyDescent="0.2">
      <c r="A98" s="364">
        <f t="shared" si="6"/>
        <v>1</v>
      </c>
      <c r="B98" s="226">
        <v>42675</v>
      </c>
      <c r="C98" s="68">
        <v>43913</v>
      </c>
      <c r="D98" s="68">
        <v>11233</v>
      </c>
      <c r="E98" s="68">
        <v>67914</v>
      </c>
      <c r="F98" s="68">
        <v>5918</v>
      </c>
      <c r="G98" s="68">
        <v>155687</v>
      </c>
      <c r="H98" s="68">
        <v>90158</v>
      </c>
      <c r="I98" s="68">
        <v>358986</v>
      </c>
      <c r="J98" s="68">
        <v>306</v>
      </c>
      <c r="K98" s="68">
        <v>473863</v>
      </c>
      <c r="L98" s="68">
        <v>61650</v>
      </c>
      <c r="M98" s="68">
        <v>20306</v>
      </c>
      <c r="N98" s="68">
        <v>13876</v>
      </c>
      <c r="O98" s="68">
        <v>1738</v>
      </c>
      <c r="P98" s="68">
        <v>2434</v>
      </c>
      <c r="Q98" s="68">
        <v>33416</v>
      </c>
      <c r="R98" s="227">
        <f t="shared" si="15"/>
        <v>1341398</v>
      </c>
      <c r="S98" s="5"/>
      <c r="T98" s="471"/>
      <c r="U98" s="614"/>
      <c r="V98" s="184"/>
      <c r="W98" s="184"/>
      <c r="X98" s="184"/>
      <c r="Y98" s="184"/>
      <c r="Z98" s="184"/>
      <c r="AA98" s="184"/>
      <c r="AB98" s="184"/>
      <c r="AC98" s="184"/>
      <c r="AD98" s="184"/>
      <c r="AE98" s="184"/>
      <c r="AF98" s="184"/>
      <c r="AG98" s="184"/>
      <c r="AH98" s="184"/>
      <c r="AI98" s="184"/>
      <c r="AJ98" s="184"/>
      <c r="AK98" s="184"/>
      <c r="AL98" s="188"/>
      <c r="AM98" s="469"/>
      <c r="AN98" s="469"/>
    </row>
    <row r="99" spans="1:40" s="185" customFormat="1" x14ac:dyDescent="0.2">
      <c r="A99" s="364">
        <f t="shared" si="6"/>
        <v>1</v>
      </c>
      <c r="B99" s="226">
        <v>42705</v>
      </c>
      <c r="C99" s="3">
        <v>43481</v>
      </c>
      <c r="D99" s="3">
        <v>11181</v>
      </c>
      <c r="E99" s="3">
        <v>66509</v>
      </c>
      <c r="F99" s="3">
        <v>6114</v>
      </c>
      <c r="G99" s="3">
        <v>157155</v>
      </c>
      <c r="H99" s="3">
        <v>90730</v>
      </c>
      <c r="I99" s="3">
        <v>362193</v>
      </c>
      <c r="J99" s="3">
        <v>303</v>
      </c>
      <c r="K99" s="3">
        <v>472054</v>
      </c>
      <c r="L99" s="3">
        <v>62524</v>
      </c>
      <c r="M99" s="3">
        <v>20296</v>
      </c>
      <c r="N99" s="3">
        <v>13608</v>
      </c>
      <c r="O99" s="3">
        <v>1736</v>
      </c>
      <c r="P99" s="3">
        <v>2430</v>
      </c>
      <c r="Q99" s="3">
        <v>33390</v>
      </c>
      <c r="R99" s="227">
        <f t="shared" si="15"/>
        <v>1343704</v>
      </c>
      <c r="S99" s="5"/>
      <c r="T99" s="471"/>
      <c r="U99" s="614"/>
      <c r="V99" s="184"/>
      <c r="W99" s="184"/>
      <c r="X99" s="184"/>
      <c r="Y99" s="184"/>
      <c r="Z99" s="184"/>
      <c r="AA99" s="184"/>
      <c r="AB99" s="184"/>
      <c r="AC99" s="184"/>
      <c r="AD99" s="184"/>
      <c r="AE99" s="184"/>
      <c r="AF99" s="184"/>
      <c r="AG99" s="184"/>
      <c r="AH99" s="184"/>
      <c r="AI99" s="184"/>
      <c r="AJ99" s="184"/>
      <c r="AK99" s="184"/>
      <c r="AL99" s="188"/>
      <c r="AM99" s="469"/>
      <c r="AN99" s="469"/>
    </row>
    <row r="100" spans="1:40" s="185" customFormat="1" x14ac:dyDescent="0.2">
      <c r="A100" s="364">
        <f t="shared" si="6"/>
        <v>1</v>
      </c>
      <c r="B100" s="226">
        <v>42736</v>
      </c>
      <c r="C100" s="3">
        <v>43888</v>
      </c>
      <c r="D100" s="3">
        <v>11405</v>
      </c>
      <c r="E100" s="3">
        <v>68174</v>
      </c>
      <c r="F100" s="3">
        <v>6267</v>
      </c>
      <c r="G100" s="3">
        <v>158234</v>
      </c>
      <c r="H100" s="3">
        <v>87555</v>
      </c>
      <c r="I100" s="3">
        <v>362098</v>
      </c>
      <c r="J100" s="3">
        <v>295</v>
      </c>
      <c r="K100" s="3">
        <v>469992</v>
      </c>
      <c r="L100" s="3">
        <v>64732</v>
      </c>
      <c r="M100" s="3">
        <v>20297</v>
      </c>
      <c r="N100" s="3">
        <v>13527</v>
      </c>
      <c r="O100" s="3">
        <v>1816</v>
      </c>
      <c r="P100" s="3">
        <v>2526</v>
      </c>
      <c r="Q100" s="3">
        <v>33173</v>
      </c>
      <c r="R100" s="227">
        <f t="shared" si="15"/>
        <v>1343979</v>
      </c>
      <c r="S100" s="5"/>
      <c r="T100" s="471"/>
      <c r="U100" s="614"/>
      <c r="V100" s="184"/>
      <c r="W100" s="184"/>
      <c r="X100" s="184"/>
      <c r="Y100" s="184"/>
      <c r="Z100" s="184"/>
      <c r="AA100" s="184"/>
      <c r="AB100" s="184"/>
      <c r="AC100" s="184"/>
      <c r="AD100" s="184"/>
      <c r="AE100" s="184"/>
      <c r="AF100" s="184"/>
      <c r="AG100" s="184"/>
      <c r="AH100" s="184"/>
      <c r="AI100" s="184"/>
      <c r="AJ100" s="184"/>
      <c r="AK100" s="184"/>
      <c r="AL100" s="188"/>
      <c r="AM100" s="469"/>
      <c r="AN100" s="469"/>
    </row>
    <row r="101" spans="1:40" s="185" customFormat="1" x14ac:dyDescent="0.2">
      <c r="A101" s="364">
        <f t="shared" si="6"/>
        <v>1</v>
      </c>
      <c r="B101" s="226">
        <v>42767</v>
      </c>
      <c r="C101" s="3">
        <v>43649</v>
      </c>
      <c r="D101" s="3">
        <v>11363</v>
      </c>
      <c r="E101" s="3">
        <v>67879</v>
      </c>
      <c r="F101" s="3">
        <v>6382</v>
      </c>
      <c r="G101" s="3">
        <v>158909</v>
      </c>
      <c r="H101" s="3">
        <v>86966</v>
      </c>
      <c r="I101" s="3">
        <v>361837</v>
      </c>
      <c r="J101" s="3">
        <v>285</v>
      </c>
      <c r="K101" s="3">
        <v>467770</v>
      </c>
      <c r="L101" s="3">
        <v>64616</v>
      </c>
      <c r="M101" s="3">
        <v>20235</v>
      </c>
      <c r="N101" s="3">
        <v>12860</v>
      </c>
      <c r="O101" s="3">
        <v>1765</v>
      </c>
      <c r="P101" s="3">
        <v>2406</v>
      </c>
      <c r="Q101" s="3">
        <v>33167</v>
      </c>
      <c r="R101" s="227">
        <f t="shared" si="15"/>
        <v>1340089</v>
      </c>
      <c r="S101" s="5"/>
      <c r="T101" s="471"/>
      <c r="U101" s="614"/>
      <c r="V101" s="184"/>
      <c r="W101" s="184"/>
      <c r="X101" s="184"/>
      <c r="Y101" s="184"/>
      <c r="Z101" s="184"/>
      <c r="AA101" s="184"/>
      <c r="AB101" s="184"/>
      <c r="AC101" s="184"/>
      <c r="AD101" s="184"/>
      <c r="AE101" s="184"/>
      <c r="AF101" s="184"/>
      <c r="AG101" s="184"/>
      <c r="AH101" s="184"/>
      <c r="AI101" s="184"/>
      <c r="AJ101" s="184"/>
      <c r="AK101" s="184"/>
      <c r="AL101" s="188"/>
      <c r="AM101" s="469"/>
      <c r="AN101" s="469"/>
    </row>
    <row r="102" spans="1:40" s="185" customFormat="1" x14ac:dyDescent="0.2">
      <c r="A102" s="364">
        <f t="shared" si="6"/>
        <v>1</v>
      </c>
      <c r="B102" s="226">
        <v>42795</v>
      </c>
      <c r="C102" s="3">
        <v>44261</v>
      </c>
      <c r="D102" s="3">
        <v>11397</v>
      </c>
      <c r="E102" s="3">
        <v>67558</v>
      </c>
      <c r="F102" s="3">
        <v>6964</v>
      </c>
      <c r="G102" s="3">
        <v>164569</v>
      </c>
      <c r="H102" s="3">
        <v>156205</v>
      </c>
      <c r="I102" s="3">
        <v>296427</v>
      </c>
      <c r="J102" s="3">
        <v>285</v>
      </c>
      <c r="K102" s="3">
        <v>465588</v>
      </c>
      <c r="L102" s="3">
        <v>68165</v>
      </c>
      <c r="M102" s="3">
        <v>20034</v>
      </c>
      <c r="N102" s="3">
        <v>12813</v>
      </c>
      <c r="O102" s="3">
        <v>2392</v>
      </c>
      <c r="P102" s="3">
        <v>2789</v>
      </c>
      <c r="Q102" s="3">
        <v>34322</v>
      </c>
      <c r="R102" s="227">
        <f t="shared" si="15"/>
        <v>1353769</v>
      </c>
      <c r="S102" s="5"/>
      <c r="T102" s="471"/>
      <c r="U102" s="614"/>
      <c r="V102" s="186"/>
      <c r="W102" s="186"/>
      <c r="X102" s="184"/>
      <c r="Y102" s="184"/>
      <c r="Z102" s="184"/>
      <c r="AA102" s="184"/>
      <c r="AB102" s="184"/>
      <c r="AC102" s="184"/>
      <c r="AD102" s="184"/>
      <c r="AE102" s="184"/>
      <c r="AF102" s="184"/>
      <c r="AG102" s="184"/>
      <c r="AH102" s="184"/>
      <c r="AI102" s="184"/>
      <c r="AJ102" s="184"/>
      <c r="AK102" s="184"/>
      <c r="AL102" s="188"/>
      <c r="AM102" s="469"/>
      <c r="AN102" s="469"/>
    </row>
    <row r="103" spans="1:40" s="185" customFormat="1" x14ac:dyDescent="0.2">
      <c r="A103" s="364">
        <f t="shared" si="6"/>
        <v>1</v>
      </c>
      <c r="B103" s="226">
        <v>42826</v>
      </c>
      <c r="C103" s="3">
        <v>44637</v>
      </c>
      <c r="D103" s="3">
        <v>11381</v>
      </c>
      <c r="E103" s="3">
        <v>67367</v>
      </c>
      <c r="F103" s="3">
        <v>7018</v>
      </c>
      <c r="G103" s="3">
        <v>174085</v>
      </c>
      <c r="H103" s="3">
        <v>141660</v>
      </c>
      <c r="I103" s="3">
        <v>309197</v>
      </c>
      <c r="J103" s="3">
        <v>279</v>
      </c>
      <c r="K103" s="3">
        <v>466511</v>
      </c>
      <c r="L103" s="3">
        <v>67508</v>
      </c>
      <c r="M103" s="3">
        <v>20433</v>
      </c>
      <c r="N103" s="3">
        <v>12786</v>
      </c>
      <c r="O103" s="3">
        <v>2321</v>
      </c>
      <c r="P103" s="3">
        <v>2868</v>
      </c>
      <c r="Q103" s="3">
        <v>34407</v>
      </c>
      <c r="R103" s="227">
        <f t="shared" si="15"/>
        <v>1362458</v>
      </c>
      <c r="S103" s="5"/>
      <c r="T103" s="471"/>
      <c r="U103" s="614"/>
      <c r="V103" s="186"/>
      <c r="W103" s="186"/>
      <c r="X103" s="184"/>
      <c r="Y103" s="184"/>
      <c r="Z103" s="184"/>
      <c r="AA103" s="184"/>
      <c r="AB103" s="184"/>
      <c r="AC103" s="184"/>
      <c r="AD103" s="184"/>
      <c r="AE103" s="184"/>
      <c r="AF103" s="184"/>
      <c r="AG103" s="184"/>
      <c r="AH103" s="184"/>
      <c r="AI103" s="184"/>
      <c r="AJ103" s="184"/>
      <c r="AK103" s="184"/>
      <c r="AL103" s="188"/>
      <c r="AM103" s="469"/>
      <c r="AN103" s="469"/>
    </row>
    <row r="104" spans="1:40" s="185" customFormat="1" x14ac:dyDescent="0.2">
      <c r="A104" s="364">
        <f t="shared" si="6"/>
        <v>1</v>
      </c>
      <c r="B104" s="226">
        <v>42856</v>
      </c>
      <c r="C104" s="3">
        <v>44816</v>
      </c>
      <c r="D104" s="3">
        <v>11401</v>
      </c>
      <c r="E104" s="3">
        <v>67183</v>
      </c>
      <c r="F104" s="3">
        <v>7042</v>
      </c>
      <c r="G104" s="3">
        <v>179878</v>
      </c>
      <c r="H104" s="3">
        <v>116609</v>
      </c>
      <c r="I104" s="3">
        <v>333778</v>
      </c>
      <c r="J104" s="3">
        <v>274</v>
      </c>
      <c r="K104" s="3">
        <v>467044</v>
      </c>
      <c r="L104" s="3">
        <v>67596</v>
      </c>
      <c r="M104" s="3">
        <v>20681</v>
      </c>
      <c r="N104" s="3">
        <v>12727</v>
      </c>
      <c r="O104" s="3">
        <v>2276</v>
      </c>
      <c r="P104" s="3">
        <v>2992</v>
      </c>
      <c r="Q104" s="3">
        <v>34806</v>
      </c>
      <c r="R104" s="227">
        <f t="shared" si="15"/>
        <v>1369103</v>
      </c>
      <c r="S104" s="5"/>
      <c r="T104" s="471"/>
      <c r="U104" s="614"/>
      <c r="V104" s="186"/>
      <c r="W104" s="186"/>
      <c r="X104" s="184"/>
      <c r="Y104" s="184"/>
      <c r="Z104" s="184"/>
      <c r="AA104" s="184"/>
      <c r="AB104" s="184"/>
      <c r="AC104" s="184"/>
      <c r="AD104" s="184"/>
      <c r="AE104" s="184"/>
      <c r="AF104" s="184"/>
      <c r="AG104" s="184"/>
      <c r="AH104" s="184"/>
      <c r="AI104" s="184"/>
      <c r="AJ104" s="184"/>
      <c r="AK104" s="184"/>
      <c r="AL104" s="188"/>
      <c r="AM104" s="469"/>
      <c r="AN104" s="469"/>
    </row>
    <row r="105" spans="1:40" s="185" customFormat="1" x14ac:dyDescent="0.2">
      <c r="A105" s="364">
        <f t="shared" si="6"/>
        <v>1</v>
      </c>
      <c r="B105" s="226">
        <v>42887</v>
      </c>
      <c r="C105" s="3">
        <v>44814</v>
      </c>
      <c r="D105" s="3">
        <v>11420</v>
      </c>
      <c r="E105" s="3">
        <v>67109</v>
      </c>
      <c r="F105" s="3">
        <v>7102</v>
      </c>
      <c r="G105" s="3">
        <v>182132</v>
      </c>
      <c r="H105" s="3">
        <v>82613</v>
      </c>
      <c r="I105" s="3">
        <v>368291</v>
      </c>
      <c r="J105" s="3">
        <v>264</v>
      </c>
      <c r="K105" s="3">
        <v>462931</v>
      </c>
      <c r="L105" s="3">
        <v>66503</v>
      </c>
      <c r="M105" s="3">
        <v>20557</v>
      </c>
      <c r="N105" s="3">
        <v>12236</v>
      </c>
      <c r="O105" s="3">
        <v>2229</v>
      </c>
      <c r="P105" s="3">
        <v>2941</v>
      </c>
      <c r="Q105" s="3">
        <v>34798</v>
      </c>
      <c r="R105" s="227">
        <f t="shared" si="15"/>
        <v>1365940</v>
      </c>
      <c r="S105" s="5"/>
      <c r="T105" s="471"/>
      <c r="U105" s="614"/>
      <c r="V105" s="184"/>
      <c r="W105" s="184"/>
      <c r="X105" s="184"/>
      <c r="Y105" s="184"/>
      <c r="Z105" s="184"/>
      <c r="AA105" s="184"/>
      <c r="AB105" s="184"/>
      <c r="AC105" s="184"/>
      <c r="AD105" s="184"/>
      <c r="AE105" s="184"/>
      <c r="AF105" s="184"/>
      <c r="AG105" s="184"/>
      <c r="AH105" s="184"/>
      <c r="AI105" s="184"/>
      <c r="AJ105" s="184"/>
      <c r="AK105" s="184"/>
      <c r="AL105" s="188"/>
      <c r="AM105" s="469"/>
      <c r="AN105" s="469"/>
    </row>
    <row r="106" spans="1:40" s="185" customFormat="1" x14ac:dyDescent="0.2">
      <c r="A106" s="364">
        <f t="shared" si="6"/>
        <v>1</v>
      </c>
      <c r="B106" s="230" t="s">
        <v>324</v>
      </c>
      <c r="C106" s="8">
        <f>ROUND(AVERAGE(C94:C105),0)</f>
        <v>43941</v>
      </c>
      <c r="D106" s="8">
        <f t="shared" ref="D106:Q106" si="16">ROUND(AVERAGE(D94:D105),0)</f>
        <v>11241</v>
      </c>
      <c r="E106" s="8">
        <f t="shared" si="16"/>
        <v>67619</v>
      </c>
      <c r="F106" s="8">
        <f t="shared" si="16"/>
        <v>6251</v>
      </c>
      <c r="G106" s="8">
        <f t="shared" si="16"/>
        <v>161422</v>
      </c>
      <c r="H106" s="8">
        <f t="shared" si="16"/>
        <v>101059</v>
      </c>
      <c r="I106" s="8">
        <f>ROUND(AVERAGE(I94:I105),0)</f>
        <v>347848</v>
      </c>
      <c r="J106" s="8">
        <f>ROUND(AVERAGE(J94:J105),0)</f>
        <v>295</v>
      </c>
      <c r="K106" s="8">
        <f>ROUNDDOWN(AVERAGE(K94:K105),0)</f>
        <v>469297</v>
      </c>
      <c r="L106" s="8">
        <f t="shared" si="16"/>
        <v>64906</v>
      </c>
      <c r="M106" s="8">
        <f t="shared" si="16"/>
        <v>20310</v>
      </c>
      <c r="N106" s="8">
        <f t="shared" si="16"/>
        <v>13567</v>
      </c>
      <c r="O106" s="8">
        <f t="shared" si="16"/>
        <v>1968</v>
      </c>
      <c r="P106" s="8">
        <f t="shared" si="16"/>
        <v>2640</v>
      </c>
      <c r="Q106" s="8">
        <f t="shared" si="16"/>
        <v>33809</v>
      </c>
      <c r="R106" s="231">
        <f t="shared" ref="R106" si="17">SUM(C106:Q106)</f>
        <v>1346173</v>
      </c>
      <c r="S106" s="5"/>
      <c r="T106" s="470"/>
      <c r="U106" s="5"/>
      <c r="V106" s="184"/>
      <c r="W106" s="184"/>
      <c r="X106" s="184"/>
      <c r="Y106" s="184"/>
      <c r="Z106" s="184"/>
      <c r="AA106" s="184"/>
      <c r="AB106" s="184"/>
      <c r="AC106" s="184"/>
      <c r="AD106" s="184"/>
      <c r="AE106" s="184"/>
      <c r="AF106" s="184"/>
      <c r="AG106" s="184"/>
      <c r="AH106" s="184"/>
      <c r="AI106" s="184"/>
      <c r="AJ106" s="184"/>
      <c r="AK106" s="184"/>
      <c r="AL106" s="188"/>
      <c r="AM106" s="469"/>
      <c r="AN106" s="469"/>
    </row>
    <row r="107" spans="1:40" s="185" customFormat="1" x14ac:dyDescent="0.2">
      <c r="A107" s="364">
        <f t="shared" ref="A107:A118" si="18">IF(C107="",0,1)</f>
        <v>1</v>
      </c>
      <c r="B107" s="226">
        <v>42917</v>
      </c>
      <c r="C107" s="3">
        <v>44896</v>
      </c>
      <c r="D107" s="3">
        <v>11410</v>
      </c>
      <c r="E107" s="3">
        <v>67009</v>
      </c>
      <c r="F107" s="3">
        <v>7274</v>
      </c>
      <c r="G107" s="3">
        <v>181640</v>
      </c>
      <c r="H107" s="3">
        <v>82329</v>
      </c>
      <c r="I107" s="3">
        <v>370674</v>
      </c>
      <c r="J107" s="3">
        <v>150</v>
      </c>
      <c r="K107" s="3">
        <v>457780</v>
      </c>
      <c r="L107" s="3">
        <v>65467</v>
      </c>
      <c r="M107" s="3">
        <v>20651</v>
      </c>
      <c r="N107" s="3">
        <v>11545</v>
      </c>
      <c r="O107" s="3">
        <v>2177</v>
      </c>
      <c r="P107" s="3">
        <v>2925</v>
      </c>
      <c r="Q107" s="3">
        <v>34833</v>
      </c>
      <c r="R107" s="227">
        <f t="shared" si="15"/>
        <v>1360760</v>
      </c>
      <c r="S107" s="5"/>
      <c r="T107" s="471"/>
      <c r="U107" s="614"/>
      <c r="V107" s="615"/>
      <c r="W107" s="184"/>
      <c r="X107" s="184"/>
      <c r="Y107" s="184"/>
      <c r="Z107" s="184"/>
      <c r="AA107" s="184"/>
      <c r="AB107" s="184"/>
      <c r="AC107" s="184"/>
      <c r="AD107" s="184"/>
      <c r="AE107" s="184"/>
      <c r="AF107" s="184"/>
      <c r="AG107" s="184"/>
      <c r="AH107" s="184"/>
      <c r="AI107" s="184"/>
      <c r="AJ107" s="184"/>
      <c r="AK107" s="184"/>
      <c r="AL107" s="188"/>
      <c r="AM107" s="469"/>
      <c r="AN107" s="469"/>
    </row>
    <row r="108" spans="1:40" s="185" customFormat="1" x14ac:dyDescent="0.2">
      <c r="A108" s="364">
        <f t="shared" si="18"/>
        <v>1</v>
      </c>
      <c r="B108" s="226">
        <v>42948</v>
      </c>
      <c r="C108" s="3">
        <v>45233</v>
      </c>
      <c r="D108" s="3">
        <v>11486</v>
      </c>
      <c r="E108" s="3">
        <v>67079</v>
      </c>
      <c r="F108" s="3">
        <v>7366</v>
      </c>
      <c r="G108" s="3">
        <v>182123</v>
      </c>
      <c r="H108" s="3">
        <v>83011</v>
      </c>
      <c r="I108" s="3">
        <v>374722</v>
      </c>
      <c r="J108" s="3">
        <v>145</v>
      </c>
      <c r="K108" s="3">
        <v>457326</v>
      </c>
      <c r="L108" s="3">
        <v>66362</v>
      </c>
      <c r="M108" s="3">
        <v>20804</v>
      </c>
      <c r="N108" s="3">
        <v>11069</v>
      </c>
      <c r="O108" s="3">
        <v>2119</v>
      </c>
      <c r="P108" s="3">
        <v>2957</v>
      </c>
      <c r="Q108" s="3">
        <v>35078</v>
      </c>
      <c r="R108" s="227">
        <f t="shared" si="15"/>
        <v>1366880</v>
      </c>
      <c r="S108" s="5"/>
      <c r="T108" s="471"/>
      <c r="U108" s="614"/>
      <c r="V108" s="615"/>
      <c r="W108" s="184"/>
      <c r="X108" s="184"/>
      <c r="Y108" s="184"/>
      <c r="Z108" s="184"/>
      <c r="AA108" s="184"/>
      <c r="AB108" s="184"/>
      <c r="AC108" s="184"/>
      <c r="AD108" s="184"/>
      <c r="AE108" s="184"/>
      <c r="AF108" s="184"/>
      <c r="AG108" s="184"/>
      <c r="AH108" s="184"/>
      <c r="AI108" s="184"/>
      <c r="AJ108" s="184"/>
      <c r="AK108" s="184"/>
      <c r="AL108" s="188"/>
      <c r="AM108" s="469"/>
      <c r="AN108" s="469"/>
    </row>
    <row r="109" spans="1:40" s="185" customFormat="1" x14ac:dyDescent="0.2">
      <c r="A109" s="364">
        <f t="shared" si="18"/>
        <v>1</v>
      </c>
      <c r="B109" s="226">
        <v>42979</v>
      </c>
      <c r="C109" s="3">
        <v>45431</v>
      </c>
      <c r="D109" s="3">
        <v>11509</v>
      </c>
      <c r="E109" s="3">
        <v>66918</v>
      </c>
      <c r="F109" s="3">
        <v>7462</v>
      </c>
      <c r="G109" s="3">
        <v>181352</v>
      </c>
      <c r="H109" s="3">
        <v>82088</v>
      </c>
      <c r="I109" s="3">
        <v>376011</v>
      </c>
      <c r="J109" s="3">
        <v>132</v>
      </c>
      <c r="K109" s="3">
        <v>452116</v>
      </c>
      <c r="L109" s="3">
        <v>66778</v>
      </c>
      <c r="M109" s="3">
        <v>20941</v>
      </c>
      <c r="N109" s="3">
        <v>10343</v>
      </c>
      <c r="O109" s="3">
        <v>2105</v>
      </c>
      <c r="P109" s="3">
        <v>2831</v>
      </c>
      <c r="Q109" s="3">
        <v>35157</v>
      </c>
      <c r="R109" s="227">
        <f t="shared" si="15"/>
        <v>1361174</v>
      </c>
      <c r="S109" s="5"/>
      <c r="T109" s="471"/>
      <c r="U109" s="5"/>
      <c r="V109" s="184"/>
      <c r="W109" s="184"/>
      <c r="X109" s="184"/>
      <c r="Y109" s="184"/>
      <c r="Z109" s="184"/>
      <c r="AA109" s="184"/>
      <c r="AB109" s="184"/>
      <c r="AC109" s="184"/>
      <c r="AD109" s="184"/>
      <c r="AE109" s="184"/>
      <c r="AF109" s="184"/>
      <c r="AG109" s="184"/>
      <c r="AH109" s="184"/>
      <c r="AI109" s="184"/>
      <c r="AJ109" s="184"/>
      <c r="AK109" s="184"/>
      <c r="AL109" s="188"/>
      <c r="AM109" s="469"/>
      <c r="AN109" s="469"/>
    </row>
    <row r="110" spans="1:40" s="185" customFormat="1" x14ac:dyDescent="0.2">
      <c r="A110" s="364">
        <f t="shared" si="18"/>
        <v>1</v>
      </c>
      <c r="B110" s="226">
        <v>43009</v>
      </c>
      <c r="C110" s="3">
        <v>45606</v>
      </c>
      <c r="D110" s="3">
        <v>11558</v>
      </c>
      <c r="E110" s="3">
        <v>66985</v>
      </c>
      <c r="F110" s="3">
        <v>7797</v>
      </c>
      <c r="G110" s="3">
        <v>179385</v>
      </c>
      <c r="H110" s="3">
        <v>73998</v>
      </c>
      <c r="I110" s="3">
        <v>350968</v>
      </c>
      <c r="J110" s="3">
        <v>139</v>
      </c>
      <c r="K110" s="3">
        <v>444507</v>
      </c>
      <c r="L110" s="3">
        <v>67110</v>
      </c>
      <c r="M110" s="3">
        <v>21093</v>
      </c>
      <c r="N110" s="3">
        <v>9948</v>
      </c>
      <c r="O110" s="3">
        <v>2197</v>
      </c>
      <c r="P110" s="3">
        <v>2842</v>
      </c>
      <c r="Q110" s="3">
        <v>34883</v>
      </c>
      <c r="R110" s="227">
        <f t="shared" si="15"/>
        <v>1319016</v>
      </c>
      <c r="S110" s="5"/>
      <c r="T110" s="471"/>
      <c r="U110" s="5"/>
      <c r="V110" s="184"/>
      <c r="W110" s="184"/>
      <c r="X110" s="184"/>
      <c r="Y110" s="184"/>
      <c r="Z110" s="184"/>
      <c r="AA110" s="184"/>
      <c r="AB110" s="184"/>
      <c r="AC110" s="184"/>
      <c r="AD110" s="184"/>
      <c r="AE110" s="184"/>
      <c r="AF110" s="184"/>
      <c r="AG110" s="184"/>
      <c r="AH110" s="184"/>
      <c r="AI110" s="184"/>
      <c r="AJ110" s="184"/>
      <c r="AK110" s="184"/>
      <c r="AL110" s="188"/>
      <c r="AM110" s="469"/>
      <c r="AN110" s="469"/>
    </row>
    <row r="111" spans="1:40" s="185" customFormat="1" x14ac:dyDescent="0.2">
      <c r="A111" s="364">
        <f t="shared" si="18"/>
        <v>1</v>
      </c>
      <c r="B111" s="226">
        <v>43040</v>
      </c>
      <c r="C111" s="3">
        <v>45824</v>
      </c>
      <c r="D111" s="3">
        <v>11643</v>
      </c>
      <c r="E111" s="3">
        <v>67142</v>
      </c>
      <c r="F111" s="3">
        <v>7980</v>
      </c>
      <c r="G111" s="3">
        <v>179750</v>
      </c>
      <c r="H111" s="3">
        <v>71489</v>
      </c>
      <c r="I111" s="3">
        <v>350249</v>
      </c>
      <c r="J111" s="3">
        <v>149</v>
      </c>
      <c r="K111" s="3">
        <v>441219</v>
      </c>
      <c r="L111" s="3">
        <v>66946</v>
      </c>
      <c r="M111" s="3">
        <v>21305</v>
      </c>
      <c r="N111" s="3">
        <v>9601</v>
      </c>
      <c r="O111" s="3">
        <v>2222</v>
      </c>
      <c r="P111" s="3">
        <v>2716</v>
      </c>
      <c r="Q111" s="3">
        <v>34999</v>
      </c>
      <c r="R111" s="227">
        <f t="shared" si="15"/>
        <v>1313234</v>
      </c>
      <c r="S111" s="5"/>
      <c r="T111" s="471"/>
      <c r="U111" s="5"/>
      <c r="V111" s="184"/>
      <c r="W111" s="184"/>
      <c r="X111" s="184"/>
      <c r="Y111" s="184"/>
      <c r="Z111" s="184"/>
      <c r="AA111" s="184"/>
      <c r="AB111" s="184"/>
      <c r="AC111" s="184"/>
      <c r="AD111" s="184"/>
      <c r="AE111" s="184"/>
      <c r="AF111" s="184"/>
      <c r="AG111" s="184"/>
      <c r="AH111" s="184"/>
      <c r="AI111" s="184"/>
      <c r="AJ111" s="184"/>
      <c r="AK111" s="184"/>
      <c r="AL111" s="188"/>
      <c r="AM111" s="469"/>
      <c r="AN111" s="469"/>
    </row>
    <row r="112" spans="1:40" s="185" customFormat="1" x14ac:dyDescent="0.2">
      <c r="A112" s="364">
        <f t="shared" si="18"/>
        <v>1</v>
      </c>
      <c r="B112" s="226">
        <v>43070</v>
      </c>
      <c r="C112" s="3">
        <v>45985</v>
      </c>
      <c r="D112" s="3">
        <v>11718</v>
      </c>
      <c r="E112" s="3">
        <v>67066</v>
      </c>
      <c r="F112" s="3">
        <v>8204</v>
      </c>
      <c r="G112" s="3">
        <v>179877</v>
      </c>
      <c r="H112" s="3">
        <v>72942</v>
      </c>
      <c r="I112" s="3">
        <v>356175</v>
      </c>
      <c r="J112" s="3">
        <v>151</v>
      </c>
      <c r="K112" s="3">
        <v>439244</v>
      </c>
      <c r="L112" s="3">
        <v>66517</v>
      </c>
      <c r="M112" s="3">
        <v>21485</v>
      </c>
      <c r="N112" s="3">
        <v>9138</v>
      </c>
      <c r="O112" s="3">
        <v>2154</v>
      </c>
      <c r="P112" s="3">
        <v>2677</v>
      </c>
      <c r="Q112" s="3">
        <v>35001</v>
      </c>
      <c r="R112" s="227">
        <f t="shared" si="15"/>
        <v>1318334</v>
      </c>
      <c r="S112" s="5"/>
      <c r="T112" s="471"/>
      <c r="U112" s="5"/>
      <c r="V112" s="184"/>
      <c r="W112" s="184"/>
      <c r="X112" s="184"/>
      <c r="Y112" s="184"/>
      <c r="Z112" s="184"/>
      <c r="AA112" s="184"/>
      <c r="AB112" s="184"/>
      <c r="AC112" s="184"/>
      <c r="AD112" s="184"/>
      <c r="AE112" s="184"/>
      <c r="AF112" s="184"/>
      <c r="AG112" s="184"/>
      <c r="AH112" s="184"/>
      <c r="AI112" s="184"/>
      <c r="AJ112" s="184"/>
      <c r="AK112" s="184"/>
      <c r="AL112" s="188"/>
      <c r="AM112" s="469"/>
      <c r="AN112" s="469"/>
    </row>
    <row r="113" spans="1:45" s="185" customFormat="1" x14ac:dyDescent="0.2">
      <c r="A113" s="364">
        <f t="shared" si="18"/>
        <v>0</v>
      </c>
      <c r="B113" s="226">
        <v>43101</v>
      </c>
      <c r="C113" s="3"/>
      <c r="D113" s="3"/>
      <c r="E113" s="3"/>
      <c r="F113" s="3"/>
      <c r="G113" s="3"/>
      <c r="H113" s="3"/>
      <c r="I113" s="3"/>
      <c r="J113" s="3"/>
      <c r="K113" s="3"/>
      <c r="L113" s="3"/>
      <c r="M113" s="3"/>
      <c r="N113" s="3"/>
      <c r="O113" s="3"/>
      <c r="P113" s="3"/>
      <c r="Q113" s="3"/>
      <c r="R113" s="227"/>
      <c r="S113" s="5"/>
      <c r="T113" s="471"/>
      <c r="U113" s="5"/>
      <c r="V113" s="184"/>
      <c r="W113" s="184"/>
      <c r="X113" s="184"/>
      <c r="Y113" s="184"/>
      <c r="Z113" s="184"/>
      <c r="AA113" s="184"/>
      <c r="AB113" s="184"/>
      <c r="AC113" s="184"/>
      <c r="AD113" s="184"/>
      <c r="AE113" s="184"/>
      <c r="AF113" s="184"/>
      <c r="AG113" s="184"/>
      <c r="AH113" s="184"/>
      <c r="AI113" s="184"/>
      <c r="AJ113" s="184"/>
      <c r="AK113" s="184"/>
      <c r="AL113" s="188"/>
      <c r="AM113" s="469"/>
      <c r="AN113" s="469"/>
    </row>
    <row r="114" spans="1:45" s="185" customFormat="1" x14ac:dyDescent="0.2">
      <c r="A114" s="364">
        <f t="shared" si="18"/>
        <v>0</v>
      </c>
      <c r="B114" s="226">
        <v>43132</v>
      </c>
      <c r="C114" s="3"/>
      <c r="D114" s="3"/>
      <c r="E114" s="3"/>
      <c r="F114" s="3"/>
      <c r="G114" s="3"/>
      <c r="H114" s="3"/>
      <c r="I114" s="3"/>
      <c r="J114" s="3"/>
      <c r="K114" s="3"/>
      <c r="L114" s="3"/>
      <c r="M114" s="3"/>
      <c r="N114" s="3"/>
      <c r="O114" s="3"/>
      <c r="P114" s="3"/>
      <c r="Q114" s="3"/>
      <c r="R114" s="227"/>
      <c r="S114" s="5"/>
      <c r="T114" s="471"/>
      <c r="U114" s="5"/>
      <c r="V114" s="184"/>
      <c r="W114" s="184"/>
      <c r="X114" s="184"/>
      <c r="Y114" s="184"/>
      <c r="Z114" s="184"/>
      <c r="AA114" s="184"/>
      <c r="AB114" s="184"/>
      <c r="AC114" s="184"/>
      <c r="AD114" s="184"/>
      <c r="AE114" s="184"/>
      <c r="AF114" s="184"/>
      <c r="AG114" s="184"/>
      <c r="AH114" s="184"/>
      <c r="AI114" s="184"/>
      <c r="AJ114" s="184"/>
      <c r="AK114" s="184"/>
      <c r="AL114" s="188"/>
      <c r="AM114" s="469"/>
      <c r="AN114" s="469"/>
    </row>
    <row r="115" spans="1:45" s="185" customFormat="1" x14ac:dyDescent="0.2">
      <c r="A115" s="364">
        <f t="shared" si="18"/>
        <v>0</v>
      </c>
      <c r="B115" s="226">
        <v>43160</v>
      </c>
      <c r="C115" s="3"/>
      <c r="D115" s="3"/>
      <c r="E115" s="3"/>
      <c r="F115" s="3"/>
      <c r="G115" s="3"/>
      <c r="H115" s="3"/>
      <c r="I115" s="3"/>
      <c r="J115" s="3"/>
      <c r="K115" s="3"/>
      <c r="L115" s="3"/>
      <c r="M115" s="3"/>
      <c r="N115" s="3"/>
      <c r="O115" s="3"/>
      <c r="P115" s="3"/>
      <c r="Q115" s="3"/>
      <c r="R115" s="227"/>
      <c r="S115" s="5"/>
      <c r="T115" s="471"/>
      <c r="U115" s="5"/>
      <c r="V115" s="184"/>
      <c r="W115" s="184"/>
      <c r="X115" s="184"/>
      <c r="Y115" s="184"/>
      <c r="Z115" s="184"/>
      <c r="AA115" s="184"/>
      <c r="AB115" s="184"/>
      <c r="AC115" s="184"/>
      <c r="AD115" s="184"/>
      <c r="AE115" s="184"/>
      <c r="AF115" s="184"/>
      <c r="AG115" s="184"/>
      <c r="AH115" s="184"/>
      <c r="AI115" s="184"/>
      <c r="AJ115" s="184"/>
      <c r="AK115" s="184"/>
      <c r="AL115" s="188"/>
      <c r="AM115" s="469"/>
      <c r="AN115" s="469"/>
    </row>
    <row r="116" spans="1:45" s="185" customFormat="1" x14ac:dyDescent="0.2">
      <c r="A116" s="364">
        <f t="shared" si="18"/>
        <v>0</v>
      </c>
      <c r="B116" s="226">
        <v>43191</v>
      </c>
      <c r="C116" s="3"/>
      <c r="D116" s="3"/>
      <c r="E116" s="3"/>
      <c r="F116" s="3"/>
      <c r="G116" s="3"/>
      <c r="H116" s="3"/>
      <c r="I116" s="3"/>
      <c r="J116" s="3"/>
      <c r="K116" s="3"/>
      <c r="L116" s="3"/>
      <c r="M116" s="3"/>
      <c r="N116" s="3"/>
      <c r="O116" s="3"/>
      <c r="P116" s="3"/>
      <c r="Q116" s="3"/>
      <c r="R116" s="227"/>
      <c r="S116" s="5"/>
      <c r="T116" s="471"/>
      <c r="U116" s="5"/>
      <c r="V116" s="184"/>
      <c r="W116" s="184"/>
      <c r="X116" s="184"/>
      <c r="Y116" s="184"/>
      <c r="Z116" s="184"/>
      <c r="AA116" s="184"/>
      <c r="AB116" s="184"/>
      <c r="AC116" s="184"/>
      <c r="AD116" s="184"/>
      <c r="AE116" s="184"/>
      <c r="AF116" s="184"/>
      <c r="AG116" s="184"/>
      <c r="AH116" s="184"/>
      <c r="AI116" s="184"/>
      <c r="AJ116" s="184"/>
      <c r="AK116" s="184"/>
      <c r="AL116" s="188"/>
      <c r="AM116" s="469"/>
      <c r="AN116" s="469"/>
    </row>
    <row r="117" spans="1:45" s="185" customFormat="1" x14ac:dyDescent="0.2">
      <c r="A117" s="364">
        <f t="shared" si="18"/>
        <v>0</v>
      </c>
      <c r="B117" s="226">
        <v>43221</v>
      </c>
      <c r="C117" s="3"/>
      <c r="D117" s="3"/>
      <c r="E117" s="3"/>
      <c r="F117" s="3"/>
      <c r="G117" s="3"/>
      <c r="H117" s="3"/>
      <c r="I117" s="3"/>
      <c r="J117" s="3"/>
      <c r="K117" s="3"/>
      <c r="L117" s="3"/>
      <c r="M117" s="3"/>
      <c r="N117" s="3"/>
      <c r="O117" s="3"/>
      <c r="P117" s="3"/>
      <c r="Q117" s="3"/>
      <c r="R117" s="227"/>
      <c r="S117" s="5"/>
      <c r="T117" s="471"/>
      <c r="U117" s="5"/>
      <c r="V117" s="184"/>
      <c r="W117" s="184"/>
      <c r="X117" s="184"/>
      <c r="Y117" s="184"/>
      <c r="Z117" s="184"/>
      <c r="AA117" s="184"/>
      <c r="AB117" s="184"/>
      <c r="AC117" s="184"/>
      <c r="AD117" s="184"/>
      <c r="AE117" s="184"/>
      <c r="AF117" s="184"/>
      <c r="AG117" s="184"/>
      <c r="AH117" s="184"/>
      <c r="AI117" s="184"/>
      <c r="AJ117" s="184"/>
      <c r="AK117" s="184"/>
      <c r="AL117" s="188"/>
      <c r="AM117" s="469"/>
      <c r="AN117" s="469"/>
    </row>
    <row r="118" spans="1:45" s="185" customFormat="1" x14ac:dyDescent="0.2">
      <c r="A118" s="364">
        <f t="shared" si="18"/>
        <v>0</v>
      </c>
      <c r="B118" s="226">
        <v>43252</v>
      </c>
      <c r="C118" s="3"/>
      <c r="D118" s="3"/>
      <c r="E118" s="3"/>
      <c r="F118" s="3"/>
      <c r="G118" s="3"/>
      <c r="H118" s="3"/>
      <c r="I118" s="3"/>
      <c r="J118" s="3"/>
      <c r="K118" s="3"/>
      <c r="L118" s="3"/>
      <c r="M118" s="3"/>
      <c r="N118" s="3"/>
      <c r="O118" s="3"/>
      <c r="P118" s="3"/>
      <c r="Q118" s="3"/>
      <c r="R118" s="227"/>
      <c r="S118" s="5"/>
      <c r="T118" s="471"/>
      <c r="U118" s="5"/>
      <c r="V118" s="184"/>
      <c r="W118" s="184"/>
      <c r="X118" s="184"/>
      <c r="Y118" s="184"/>
      <c r="Z118" s="184"/>
      <c r="AA118" s="184"/>
      <c r="AB118" s="184"/>
      <c r="AC118" s="184"/>
      <c r="AD118" s="184"/>
      <c r="AE118" s="184"/>
      <c r="AF118" s="184"/>
      <c r="AG118" s="184"/>
      <c r="AH118" s="184"/>
      <c r="AI118" s="184"/>
      <c r="AJ118" s="184"/>
      <c r="AK118" s="184"/>
      <c r="AL118" s="188"/>
      <c r="AM118" s="469"/>
      <c r="AN118" s="469"/>
    </row>
    <row r="119" spans="1:45" s="185" customFormat="1" x14ac:dyDescent="0.2">
      <c r="A119" s="364"/>
      <c r="B119" s="226"/>
      <c r="C119" s="3"/>
      <c r="D119" s="3"/>
      <c r="E119" s="3"/>
      <c r="F119" s="3"/>
      <c r="G119" s="3"/>
      <c r="H119" s="3"/>
      <c r="I119" s="3"/>
      <c r="J119" s="3"/>
      <c r="K119" s="3"/>
      <c r="L119" s="3"/>
      <c r="M119" s="3"/>
      <c r="N119" s="3"/>
      <c r="O119" s="3"/>
      <c r="P119" s="3"/>
      <c r="Q119" s="3"/>
      <c r="R119" s="227"/>
      <c r="S119" s="5"/>
      <c r="T119" s="470"/>
      <c r="U119" s="5"/>
      <c r="V119" s="184"/>
      <c r="W119" s="184"/>
      <c r="X119" s="184"/>
      <c r="Y119" s="184"/>
      <c r="Z119" s="184"/>
      <c r="AA119" s="184"/>
      <c r="AB119" s="184"/>
      <c r="AC119" s="184"/>
      <c r="AD119" s="184"/>
      <c r="AE119" s="184"/>
      <c r="AF119" s="184"/>
      <c r="AG119" s="184"/>
      <c r="AH119" s="184"/>
      <c r="AI119" s="184"/>
      <c r="AJ119" s="184"/>
      <c r="AK119" s="184"/>
      <c r="AL119" s="188"/>
      <c r="AM119" s="469"/>
      <c r="AN119" s="469"/>
    </row>
    <row r="120" spans="1:45" s="185" customFormat="1" x14ac:dyDescent="0.25">
      <c r="B120" s="234" t="s">
        <v>325</v>
      </c>
      <c r="C120" s="5">
        <f>ROUND(+AVERAGE(C107:C118),0)</f>
        <v>45496</v>
      </c>
      <c r="D120" s="5">
        <f t="shared" ref="D120:P120" si="19">ROUND(+AVERAGE(D107:D118),0)</f>
        <v>11554</v>
      </c>
      <c r="E120" s="5">
        <f t="shared" si="19"/>
        <v>67033</v>
      </c>
      <c r="F120" s="5">
        <f t="shared" si="19"/>
        <v>7681</v>
      </c>
      <c r="G120" s="5">
        <f t="shared" si="19"/>
        <v>180688</v>
      </c>
      <c r="H120" s="5">
        <f t="shared" si="19"/>
        <v>77643</v>
      </c>
      <c r="I120" s="5">
        <f>ROUND(+AVERAGE(I107:I118),0)</f>
        <v>363133</v>
      </c>
      <c r="J120" s="5">
        <f>ROUND(+AVERAGE(J107:J118),0)</f>
        <v>144</v>
      </c>
      <c r="K120" s="5">
        <f>ROUNDDOWN(+AVERAGE(K107:K118),0)</f>
        <v>448698</v>
      </c>
      <c r="L120" s="5">
        <f>ROUND(+AVERAGE(L107:L118),0)</f>
        <v>66530</v>
      </c>
      <c r="M120" s="5">
        <f t="shared" si="19"/>
        <v>21047</v>
      </c>
      <c r="N120" s="5">
        <f t="shared" si="19"/>
        <v>10274</v>
      </c>
      <c r="O120" s="5">
        <f t="shared" si="19"/>
        <v>2162</v>
      </c>
      <c r="P120" s="5">
        <f t="shared" si="19"/>
        <v>2825</v>
      </c>
      <c r="Q120" s="5">
        <f>ROUND(+AVERAGE(Q107:Q118),0)</f>
        <v>34992</v>
      </c>
      <c r="R120" s="235">
        <f>ROUND(SUM(C120:Q120),0)</f>
        <v>1339900</v>
      </c>
      <c r="S120" s="5"/>
      <c r="T120" s="5"/>
      <c r="U120" s="5"/>
      <c r="V120" s="184"/>
      <c r="W120" s="184"/>
      <c r="X120" s="184"/>
      <c r="Y120" s="184"/>
      <c r="Z120" s="184"/>
      <c r="AA120" s="184"/>
      <c r="AB120" s="184"/>
      <c r="AC120" s="184"/>
      <c r="AD120" s="184"/>
      <c r="AE120" s="184"/>
      <c r="AF120" s="184"/>
      <c r="AG120" s="184"/>
      <c r="AH120" s="184"/>
      <c r="AI120" s="184"/>
      <c r="AJ120" s="184"/>
      <c r="AK120" s="184"/>
      <c r="AL120" s="184"/>
      <c r="AM120" s="469"/>
      <c r="AN120" s="469"/>
    </row>
    <row r="121" spans="1:45" s="185" customFormat="1" ht="15.75" customHeight="1" x14ac:dyDescent="0.25">
      <c r="B121" s="234" t="s">
        <v>326</v>
      </c>
      <c r="C121" s="5">
        <v>44144</v>
      </c>
      <c r="D121" s="5">
        <v>11659</v>
      </c>
      <c r="E121" s="5">
        <v>69085</v>
      </c>
      <c r="F121" s="5">
        <v>7414</v>
      </c>
      <c r="G121" s="5">
        <v>192463</v>
      </c>
      <c r="H121" s="5">
        <v>80982</v>
      </c>
      <c r="I121" s="5">
        <v>389466</v>
      </c>
      <c r="J121" s="5">
        <v>253</v>
      </c>
      <c r="K121" s="5">
        <v>479307</v>
      </c>
      <c r="L121" s="5">
        <v>69199</v>
      </c>
      <c r="M121" s="5">
        <v>20456</v>
      </c>
      <c r="N121" s="5">
        <v>14131</v>
      </c>
      <c r="O121" s="5">
        <v>1803</v>
      </c>
      <c r="P121" s="5">
        <v>2551</v>
      </c>
      <c r="Q121" s="5">
        <v>37354</v>
      </c>
      <c r="R121" s="235">
        <v>1420267</v>
      </c>
      <c r="S121" s="5"/>
      <c r="T121" s="5"/>
      <c r="U121" s="5"/>
      <c r="V121" s="187"/>
      <c r="W121" s="184"/>
      <c r="X121" s="187"/>
      <c r="AJ121" s="189"/>
      <c r="AM121" s="469"/>
      <c r="AN121" s="469"/>
    </row>
    <row r="122" spans="1:45" s="185" customFormat="1" x14ac:dyDescent="0.2">
      <c r="B122" s="236" t="s">
        <v>18</v>
      </c>
      <c r="C122" s="3">
        <f t="array" ref="C122">IF(TEXT(MAX(IF($A$107:$A$118=1,$B$107:$B$118)),"mmmm")="July",C107-C105,INDEX(C$107:C$118,MATCH(TEXT(MAX(IF($A$107:$A$118=1,$B$107:$B$118)),"mmmm"),TEXT($B$107:$B$118,"mmmm"),0))-INDEX(C$107:C$118,MATCH(TEXT(MAX(IF($A$107:$A$118=1,$B$107:$B$118)),"mmmm"),TEXT($B$107:$B$118,"mmmm"),0)-1))</f>
        <v>161</v>
      </c>
      <c r="D122" s="3">
        <f t="array" ref="D122">IF(TEXT(MAX(IF($A$107:$A$118=1,$B$107:$B$118)),"mmmm")="July",D107-D105,INDEX(D$107:D$118,MATCH(TEXT(MAX(IF($A$107:$A$118=1,$B$107:$B$118)),"mmmm"),TEXT($B$107:$B$118,"mmmm"),0))-INDEX(D$107:D$118,MATCH(TEXT(MAX(IF($A$107:$A$118=1,$B$107:$B$118)),"mmmm"),TEXT($B$107:$B$118,"mmmm"),0)-1))</f>
        <v>75</v>
      </c>
      <c r="E122" s="3">
        <f t="array" ref="E122">IF(TEXT(MAX(IF($A$107:$A$118=1,$B$107:$B$118)),"mmmm")="July",E107-E105,INDEX(E$107:E$118,MATCH(TEXT(MAX(IF($A$107:$A$118=1,$B$107:$B$118)),"mmmm"),TEXT($B$107:$B$118,"mmmm"),0))-INDEX(E$107:E$118,MATCH(TEXT(MAX(IF($A$107:$A$118=1,$B$107:$B$118)),"mmmm"),TEXT($B$107:$B$118,"mmmm"),0)-1))</f>
        <v>-76</v>
      </c>
      <c r="F122" s="3">
        <f t="array" ref="F122">IF(TEXT(MAX(IF($A$107:$A$118=1,$B$107:$B$118)),"mmmm")="July",F107-F105,INDEX(F$107:F$118,MATCH(TEXT(MAX(IF($A$107:$A$118=1,$B$107:$B$118)),"mmmm"),TEXT($B$107:$B$118,"mmmm"),0))-INDEX(F$107:F$118,MATCH(TEXT(MAX(IF($A$107:$A$118=1,$B$107:$B$118)),"mmmm"),TEXT($B$107:$B$118,"mmmm"),0)-1))</f>
        <v>224</v>
      </c>
      <c r="G122" s="3">
        <f t="array" ref="G122">IF(TEXT(MAX(IF($A$107:$A$118=1,$B$107:$B$118)),"mmmm")="July",G107-G105,INDEX(G$107:G$118,MATCH(TEXT(MAX(IF($A$107:$A$118=1,$B$107:$B$118)),"mmmm"),TEXT($B$107:$B$118,"mmmm"),0))-INDEX(G$107:G$118,MATCH(TEXT(MAX(IF($A$107:$A$118=1,$B$107:$B$118)),"mmmm"),TEXT($B$107:$B$118,"mmmm"),0)-1))</f>
        <v>127</v>
      </c>
      <c r="H122" s="3">
        <f t="array" ref="H122">IF(TEXT(MAX(IF($A$107:$A$118=1,$B$107:$B$118)),"mmmm")="July",H107-H105,INDEX(H$107:H$118,MATCH(TEXT(MAX(IF($A$107:$A$118=1,$B$107:$B$118)),"mmmm"),TEXT($B$107:$B$118,"mmmm"),0))-INDEX(H$107:H$118,MATCH(TEXT(MAX(IF($A$107:$A$118=1,$B$107:$B$118)),"mmmm"),TEXT($B$107:$B$118,"mmmm"),0)-1))</f>
        <v>1453</v>
      </c>
      <c r="I122" s="3">
        <f t="array" ref="I122">IF(TEXT(MAX(IF($A$107:$A$118=1,$B$107:$B$118)),"mmmm")="July",I107-I105,INDEX(I$107:I$118,MATCH(TEXT(MAX(IF($A$107:$A$118=1,$B$107:$B$118)),"mmmm"),TEXT($B$107:$B$118,"mmmm"),0))-INDEX(I$107:I$118,MATCH(TEXT(MAX(IF($A$107:$A$118=1,$B$107:$B$118)),"mmmm"),TEXT($B$107:$B$118,"mmmm"),0)-1))</f>
        <v>5926</v>
      </c>
      <c r="J122" s="3">
        <f t="array" ref="J122">IF(TEXT(MAX(IF($A$107:$A$118=1,$B$107:$B$118)),"mmmm")="July",J107-J105,INDEX(J$107:J$118,MATCH(TEXT(MAX(IF($A$107:$A$118=1,$B$107:$B$118)),"mmmm"),TEXT($B$107:$B$118,"mmmm"),0))-INDEX(J$107:J$118,MATCH(TEXT(MAX(IF($A$107:$A$118=1,$B$107:$B$118)),"mmmm"),TEXT($B$107:$B$118,"mmmm"),0)-1))</f>
        <v>2</v>
      </c>
      <c r="K122" s="3">
        <f t="array" ref="K122">IF(TEXT(MAX(IF($A$107:$A$118=1,$B$107:$B$118)),"mmmm")="July",K107-K105,INDEX(K$107:K$118,MATCH(TEXT(MAX(IF($A$107:$A$118=1,$B$107:$B$118)),"mmmm"),TEXT($B$107:$B$118,"mmmm"),0))-INDEX(K$107:K$118,MATCH(TEXT(MAX(IF($A$107:$A$118=1,$B$107:$B$118)),"mmmm"),TEXT($B$107:$B$118,"mmmm"),0)-1))</f>
        <v>-1975</v>
      </c>
      <c r="L122" s="3">
        <f t="array" ref="L122">IF(TEXT(MAX(IF($A$107:$A$118=1,$B$107:$B$118)),"mmmm")="July",L107-L105,INDEX(L$107:L$118,MATCH(TEXT(MAX(IF($A$107:$A$118=1,$B$107:$B$118)),"mmmm"),TEXT($B$107:$B$118,"mmmm"),0))-INDEX(L$107:L$118,MATCH(TEXT(MAX(IF($A$107:$A$118=1,$B$107:$B$118)),"mmmm"),TEXT($B$107:$B$118,"mmmm"),0)-1))</f>
        <v>-429</v>
      </c>
      <c r="M122" s="3">
        <f t="array" ref="M122">IF(TEXT(MAX(IF($A$107:$A$118=1,$B$107:$B$118)),"mmmm")="July",M107-M105,INDEX(M$107:M$118,MATCH(TEXT(MAX(IF($A$107:$A$118=1,$B$107:$B$118)),"mmmm"),TEXT($B$107:$B$118,"mmmm"),0))-INDEX(M$107:M$118,MATCH(TEXT(MAX(IF($A$107:$A$118=1,$B$107:$B$118)),"mmmm"),TEXT($B$107:$B$118,"mmmm"),0)-1))</f>
        <v>180</v>
      </c>
      <c r="N122" s="3">
        <f t="array" ref="N122">IF(TEXT(MAX(IF($A$107:$A$118=1,$B$107:$B$118)),"mmmm")="July",N107-N105,INDEX(N$107:N$118,MATCH(TEXT(MAX(IF($A$107:$A$118=1,$B$107:$B$118)),"mmmm"),TEXT($B$107:$B$118,"mmmm"),0))-INDEX(N$107:N$118,MATCH(TEXT(MAX(IF($A$107:$A$118=1,$B$107:$B$118)),"mmmm"),TEXT($B$107:$B$118,"mmmm"),0)-1))</f>
        <v>-463</v>
      </c>
      <c r="O122" s="3">
        <f t="array" ref="O122">IF(TEXT(MAX(IF($A$107:$A$118=1,$B$107:$B$118)),"mmmm")="July",O107-O105,INDEX(O$107:O$118,MATCH(TEXT(MAX(IF($A$107:$A$118=1,$B$107:$B$118)),"mmmm"),TEXT($B$107:$B$118,"mmmm"),0))-INDEX(O$107:O$118,MATCH(TEXT(MAX(IF($A$107:$A$118=1,$B$107:$B$118)),"mmmm"),TEXT($B$107:$B$118,"mmmm"),0)-1))</f>
        <v>-68</v>
      </c>
      <c r="P122" s="3">
        <f t="array" ref="P122">IF(TEXT(MAX(IF($A$107:$A$118=1,$B$107:$B$118)),"mmmm")="July",P107-P105,INDEX(P$107:P$118,MATCH(TEXT(MAX(IF($A$107:$A$118=1,$B$107:$B$118)),"mmmm"),TEXT($B$107:$B$118,"mmmm"),0))-INDEX(P$107:P$118,MATCH(TEXT(MAX(IF($A$107:$A$118=1,$B$107:$B$118)),"mmmm"),TEXT($B$107:$B$118,"mmmm"),0)-1))</f>
        <v>-39</v>
      </c>
      <c r="Q122" s="3">
        <f t="array" ref="Q122">IF(TEXT(MAX(IF($A$107:$A$118=1,$B$107:$B$118)),"mmmm")="July",Q107-Q105,INDEX(Q$107:Q$118,MATCH(TEXT(MAX(IF($A$107:$A$118=1,$B$107:$B$118)),"mmmm"),TEXT($B$107:$B$118,"mmmm"),0))-INDEX(Q$107:Q$118,MATCH(TEXT(MAX(IF($A$107:$A$118=1,$B$107:$B$118)),"mmmm"),TEXT($B$107:$B$118,"mmmm"),0)-1))</f>
        <v>2</v>
      </c>
      <c r="R122" s="507">
        <f t="array" ref="R122">IF(TEXT(MAX(IF($A$107:$A$118=1,$B$107:$B$118)),"mmmm")="July",R107-R105,INDEX(R$107:R$118,MATCH(TEXT(MAX(IF($A$107:$A$118=1,$B$107:$B$118)),"mmmm"),TEXT($B$107:$B$118,"mmmm"),0))-INDEX(R$107:R$118,MATCH(TEXT(MAX(IF($A$107:$A$118=1,$B$107:$B$118)),"mmmm"),TEXT($B$107:$B$118,"mmmm"),0)-1))</f>
        <v>5100</v>
      </c>
      <c r="S122" s="5"/>
      <c r="T122" s="5"/>
      <c r="U122" s="5"/>
      <c r="V122" s="186"/>
      <c r="X122" s="187"/>
      <c r="AA122" s="193"/>
      <c r="AM122" s="469"/>
      <c r="AN122" s="469"/>
    </row>
    <row r="123" spans="1:45" s="185" customFormat="1" x14ac:dyDescent="0.2">
      <c r="B123" s="236" t="s">
        <v>21</v>
      </c>
      <c r="C123" s="6">
        <f t="array" ref="C123">IF(TEXT(MAX(IF($A$107:$A$118=1,$B$107:$B$118)),"mmmm")="July",C122/C105,IFERROR(C122/INDEX(C$107:C$118,MATCH(TEXT(MAX(IF($A$107:$A$118=1,$B$107:$B$118)),"mmmm"),TEXT($B$107:$B$118,"mmmm"),0)-1),0))</f>
        <v>3.5134427374301676E-3</v>
      </c>
      <c r="D123" s="6">
        <f t="array" ref="D123">IF(TEXT(MAX(IF($A$107:$A$118=1,$B$107:$B$118)),"mmmm")="July",D122/D105,IFERROR(D122/INDEX(D$107:D$118,MATCH(TEXT(MAX(IF($A$107:$A$118=1,$B$107:$B$118)),"mmmm"),TEXT($B$107:$B$118,"mmmm"),0)-1),0))</f>
        <v>6.4416387528987377E-3</v>
      </c>
      <c r="E123" s="6">
        <f t="array" ref="E123">IF(TEXT(MAX(IF($A$107:$A$118=1,$B$107:$B$118)),"mmmm")="July",E122/E105,IFERROR(E122/INDEX(E$107:E$118,MATCH(TEXT(MAX(IF($A$107:$A$118=1,$B$107:$B$118)),"mmmm"),TEXT($B$107:$B$118,"mmmm"),0)-1),0))</f>
        <v>-1.1319293437788568E-3</v>
      </c>
      <c r="F123" s="6">
        <f t="array" ref="F123">IF(TEXT(MAX(IF($A$107:$A$118=1,$B$107:$B$118)),"mmmm")="July",F122/F105,IFERROR(F122/INDEX(F$107:F$118,MATCH(TEXT(MAX(IF($A$107:$A$118=1,$B$107:$B$118)),"mmmm"),TEXT($B$107:$B$118,"mmmm"),0)-1),0))</f>
        <v>2.8070175438596492E-2</v>
      </c>
      <c r="G123" s="6">
        <f t="array" ref="G123">IF(TEXT(MAX(IF($A$107:$A$118=1,$B$107:$B$118)),"mmmm")="July",G122/G105,IFERROR(G122/INDEX(G$107:G$118,MATCH(TEXT(MAX(IF($A$107:$A$118=1,$B$107:$B$118)),"mmmm"),TEXT($B$107:$B$118,"mmmm"),0)-1),0))</f>
        <v>7.065368567454798E-4</v>
      </c>
      <c r="H123" s="6">
        <f t="array" ref="H123">IF(TEXT(MAX(IF($A$107:$A$118=1,$B$107:$B$118)),"mmmm")="July",H122/H105,IFERROR(H122/INDEX(H$107:H$118,MATCH(TEXT(MAX(IF($A$107:$A$118=1,$B$107:$B$118)),"mmmm"),TEXT($B$107:$B$118,"mmmm"),0)-1),0))</f>
        <v>2.0324805214788289E-2</v>
      </c>
      <c r="I123" s="6">
        <f t="array" ref="I123">IF(TEXT(MAX(IF($A$107:$A$118=1,$B$107:$B$118)),"mmmm")="July",I122/I105,IFERROR(I122/INDEX(I$107:I$118,MATCH(TEXT(MAX(IF($A$107:$A$118=1,$B$107:$B$118)),"mmmm"),TEXT($B$107:$B$118,"mmmm"),0)-1),0))</f>
        <v>1.69193916328098E-2</v>
      </c>
      <c r="J123" s="6">
        <f t="array" ref="J123">IF(TEXT(MAX(IF($A$107:$A$118=1,$B$107:$B$118)),"mmmm")="July",J122/J105,IFERROR(J122/INDEX(J$107:J$118,MATCH(TEXT(MAX(IF($A$107:$A$118=1,$B$107:$B$118)),"mmmm"),TEXT($B$107:$B$118,"mmmm"),0)-1),0))</f>
        <v>1.3422818791946308E-2</v>
      </c>
      <c r="K123" s="6">
        <f t="array" ref="K123">IF(TEXT(MAX(IF($A$107:$A$118=1,$B$107:$B$118)),"mmmm")="July",K122/K105,IFERROR(K122/INDEX(K$107:K$118,MATCH(TEXT(MAX(IF($A$107:$A$118=1,$B$107:$B$118)),"mmmm"),TEXT($B$107:$B$118,"mmmm"),0)-1),0))</f>
        <v>-4.4762351575974744E-3</v>
      </c>
      <c r="L123" s="6">
        <f t="array" ref="L123">IF(TEXT(MAX(IF($A$107:$A$118=1,$B$107:$B$118)),"mmmm")="July",L122/L105,IFERROR(L122/INDEX(L$107:L$118,MATCH(TEXT(MAX(IF($A$107:$A$118=1,$B$107:$B$118)),"mmmm"),TEXT($B$107:$B$118,"mmmm"),0)-1),0))</f>
        <v>-6.4081498521196189E-3</v>
      </c>
      <c r="M123" s="6">
        <f t="array" ref="M123">IF(TEXT(MAX(IF($A$107:$A$118=1,$B$107:$B$118)),"mmmm")="July",M122/M105,IFERROR(M122/INDEX(M$107:M$118,MATCH(TEXT(MAX(IF($A$107:$A$118=1,$B$107:$B$118)),"mmmm"),TEXT($B$107:$B$118,"mmmm"),0)-1),0))</f>
        <v>8.4487209575217093E-3</v>
      </c>
      <c r="N123" s="6">
        <f t="array" ref="N123">IF(TEXT(MAX(IF($A$107:$A$118=1,$B$107:$B$118)),"mmmm")="July",N122/N105,IFERROR(N122/INDEX(N$107:N$118,MATCH(TEXT(MAX(IF($A$107:$A$118=1,$B$107:$B$118)),"mmmm"),TEXT($B$107:$B$118,"mmmm"),0)-1),0))</f>
        <v>-4.8224143318404335E-2</v>
      </c>
      <c r="O123" s="6">
        <f t="array" ref="O123">IF(TEXT(MAX(IF($A$107:$A$118=1,$B$107:$B$118)),"mmmm")="July",O122/O105,IFERROR(O122/INDEX(O$107:O$118,MATCH(TEXT(MAX(IF($A$107:$A$118=1,$B$107:$B$118)),"mmmm"),TEXT($B$107:$B$118,"mmmm"),0)-1),0))</f>
        <v>-3.0603060306030602E-2</v>
      </c>
      <c r="P123" s="6">
        <f t="array" ref="P123">IF(TEXT(MAX(IF($A$107:$A$118=1,$B$107:$B$118)),"mmmm")="July",P122/P105,IFERROR(P122/INDEX(P$107:P$118,MATCH(TEXT(MAX(IF($A$107:$A$118=1,$B$107:$B$118)),"mmmm"),TEXT($B$107:$B$118,"mmmm"),0)-1),0))</f>
        <v>-1.4359351988217967E-2</v>
      </c>
      <c r="Q123" s="6">
        <f t="array" ref="Q123">IF(TEXT(MAX(IF($A$107:$A$118=1,$B$107:$B$118)),"mmmm")="July",Q122/Q105,IFERROR(Q122/INDEX(Q$107:Q$118,MATCH(TEXT(MAX(IF($A$107:$A$118=1,$B$107:$B$118)),"mmmm"),TEXT($B$107:$B$118,"mmmm"),0)-1),0))</f>
        <v>5.7144489842566934E-5</v>
      </c>
      <c r="R123" s="472">
        <f t="array" ref="R123">IF(TEXT(MAX(IF($A$107:$A$118=1,$B$107:$B$118)),"mmmm")="July",R122/R105,IFERROR(R122/INDEX(R$107:R$118,MATCH(TEXT(MAX(IF($A$107:$A$118=1,$B$107:$B$118)),"mmmm"),TEXT($B$107:$B$118,"mmmm"),0)-1),0))</f>
        <v>3.8835424608257172E-3</v>
      </c>
      <c r="S123" s="6"/>
      <c r="T123" s="262"/>
      <c r="U123" s="6"/>
      <c r="V123" s="194"/>
      <c r="AM123" s="469"/>
      <c r="AN123" s="469"/>
    </row>
    <row r="124" spans="1:45" s="185" customFormat="1" x14ac:dyDescent="0.2">
      <c r="B124" s="236" t="s">
        <v>36</v>
      </c>
      <c r="C124" s="3">
        <f t="array" ref="C124">INDEX(C$107:C$118,MATCH(TEXT(MAX(IF($A$107:$A$118=1,$B$107:$B$118)),"mmmm"),TEXT($B$107:$B$118,"mmmm"),0))-INDEX(C$94:C$105,MATCH(TEXT(MAX(IF($A$107:$A$118=1,$B$107:$B$118)),"mmmm"),TEXT($B$94:$B$105,"mmmm"),0))</f>
        <v>2504</v>
      </c>
      <c r="D124" s="3">
        <f t="array" ref="D124">INDEX(D$107:D$118,MATCH(TEXT(MAX(IF($A$107:$A$118=1,$B$107:$B$118)),"mmmm"),TEXT($B$107:$B$118,"mmmm"),0))-INDEX(D$94:D$105,MATCH(TEXT(MAX(IF($A$107:$A$118=1,$B$107:$B$118)),"mmmm"),TEXT($B$94:$B$105,"mmmm"),0))</f>
        <v>537</v>
      </c>
      <c r="E124" s="3">
        <f t="array" ref="E124">INDEX(E$107:E$118,MATCH(TEXT(MAX(IF($A$107:$A$118=1,$B$107:$B$118)),"mmmm"),TEXT($B$107:$B$118,"mmmm"),0))-INDEX(E$94:E$105,MATCH(TEXT(MAX(IF($A$107:$A$118=1,$B$107:$B$118)),"mmmm"),TEXT($B$94:$B$105,"mmmm"),0))</f>
        <v>557</v>
      </c>
      <c r="F124" s="3">
        <f t="array" ref="F124">INDEX(F$107:F$118,MATCH(TEXT(MAX(IF($A$107:$A$118=1,$B$107:$B$118)),"mmmm"),TEXT($B$107:$B$118,"mmmm"),0))-INDEX(F$94:F$105,MATCH(TEXT(MAX(IF($A$107:$A$118=1,$B$107:$B$118)),"mmmm"),TEXT($B$94:$B$105,"mmmm"),0))</f>
        <v>2090</v>
      </c>
      <c r="G124" s="3">
        <f t="array" ref="G124">INDEX(G$107:G$118,MATCH(TEXT(MAX(IF($A$107:$A$118=1,$B$107:$B$118)),"mmmm"),TEXT($B$107:$B$118,"mmmm"),0))-INDEX(G$94:G$105,MATCH(TEXT(MAX(IF($A$107:$A$118=1,$B$107:$B$118)),"mmmm"),TEXT($B$94:$B$105,"mmmm"),0))</f>
        <v>22722</v>
      </c>
      <c r="H124" s="3">
        <f t="array" ref="H124">INDEX(H$107:H$118,MATCH(TEXT(MAX(IF($A$107:$A$118=1,$B$107:$B$118)),"mmmm"),TEXT($B$107:$B$118,"mmmm"),0))-INDEX(H$94:H$105,MATCH(TEXT(MAX(IF($A$107:$A$118=1,$B$107:$B$118)),"mmmm"),TEXT($B$94:$B$105,"mmmm"),0))</f>
        <v>-17788</v>
      </c>
      <c r="I124" s="3">
        <f t="array" ref="I124">INDEX(I$107:I$118,MATCH(TEXT(MAX(IF($A$107:$A$118=1,$B$107:$B$118)),"mmmm"),TEXT($B$107:$B$118,"mmmm"),0))-INDEX(I$94:I$105,MATCH(TEXT(MAX(IF($A$107:$A$118=1,$B$107:$B$118)),"mmmm"),TEXT($B$94:$B$105,"mmmm"),0))</f>
        <v>-6018</v>
      </c>
      <c r="J124" s="3">
        <f t="array" ref="J124">INDEX(J$107:J$118,MATCH(TEXT(MAX(IF($A$107:$A$118=1,$B$107:$B$118)),"mmmm"),TEXT($B$107:$B$118,"mmmm"),0))-INDEX(J$94:J$105,MATCH(TEXT(MAX(IF($A$107:$A$118=1,$B$107:$B$118)),"mmmm"),TEXT($B$94:$B$105,"mmmm"),0))</f>
        <v>-152</v>
      </c>
      <c r="K124" s="3">
        <f t="array" ref="K124">INDEX(K$107:K$118,MATCH(TEXT(MAX(IF($A$107:$A$118=1,$B$107:$B$118)),"mmmm"),TEXT($B$107:$B$118,"mmmm"),0))-INDEX(K$94:K$105,MATCH(TEXT(MAX(IF($A$107:$A$118=1,$B$107:$B$118)),"mmmm"),TEXT($B$94:$B$105,"mmmm"),0))</f>
        <v>-32810</v>
      </c>
      <c r="L124" s="3">
        <f t="array" ref="L124">INDEX(L$107:L$118,MATCH(TEXT(MAX(IF($A$107:$A$118=1,$B$107:$B$118)),"mmmm"),TEXT($B$107:$B$118,"mmmm"),0))-INDEX(L$94:L$105,MATCH(TEXT(MAX(IF($A$107:$A$118=1,$B$107:$B$118)),"mmmm"),TEXT($B$94:$B$105,"mmmm"),0))</f>
        <v>3993</v>
      </c>
      <c r="M124" s="3">
        <f t="array" ref="M124">INDEX(M$107:M$118,MATCH(TEXT(MAX(IF($A$107:$A$118=1,$B$107:$B$118)),"mmmm"),TEXT($B$107:$B$118,"mmmm"),0))-INDEX(M$94:M$105,MATCH(TEXT(MAX(IF($A$107:$A$118=1,$B$107:$B$118)),"mmmm"),TEXT($B$94:$B$105,"mmmm"),0))</f>
        <v>1189</v>
      </c>
      <c r="N124" s="3">
        <f t="array" ref="N124">INDEX(N$107:N$118,MATCH(TEXT(MAX(IF($A$107:$A$118=1,$B$107:$B$118)),"mmmm"),TEXT($B$107:$B$118,"mmmm"),0))-INDEX(N$94:N$105,MATCH(TEXT(MAX(IF($A$107:$A$118=1,$B$107:$B$118)),"mmmm"),TEXT($B$94:$B$105,"mmmm"),0))</f>
        <v>-4470</v>
      </c>
      <c r="O124" s="3">
        <f t="array" ref="O124">INDEX(O$107:O$118,MATCH(TEXT(MAX(IF($A$107:$A$118=1,$B$107:$B$118)),"mmmm"),TEXT($B$107:$B$118,"mmmm"),0))-INDEX(O$94:O$105,MATCH(TEXT(MAX(IF($A$107:$A$118=1,$B$107:$B$118)),"mmmm"),TEXT($B$94:$B$105,"mmmm"),0))</f>
        <v>418</v>
      </c>
      <c r="P124" s="3">
        <f t="array" ref="P124">INDEX(P$107:P$118,MATCH(TEXT(MAX(IF($A$107:$A$118=1,$B$107:$B$118)),"mmmm"),TEXT($B$107:$B$118,"mmmm"),0))-INDEX(P$94:P$105,MATCH(TEXT(MAX(IF($A$107:$A$118=1,$B$107:$B$118)),"mmmm"),TEXT($B$94:$B$105,"mmmm"),0))</f>
        <v>247</v>
      </c>
      <c r="Q124" s="3">
        <f t="array" ref="Q124">INDEX(Q$107:Q$118,MATCH(TEXT(MAX(IF($A$107:$A$118=1,$B$107:$B$118)),"mmmm"),TEXT($B$107:$B$118,"mmmm"),0))-INDEX(Q$94:Q$105,MATCH(TEXT(MAX(IF($A$107:$A$118=1,$B$107:$B$118)),"mmmm"),TEXT($B$94:$B$105,"mmmm"),0))</f>
        <v>1611</v>
      </c>
      <c r="R124" s="507">
        <f t="array" ref="R124">INDEX(R$107:R$118,MATCH(TEXT(MAX(IF($A$107:$A$118=1,$B$107:$B$118)),"mmmm"),TEXT($B$107:$B$118,"mmmm"),0))-INDEX(R$94:R$105,MATCH(TEXT(MAX(IF($A$107:$A$118=1,$B$107:$B$118)),"mmmm"),TEXT($B$94:$B$105,"mmmm"),0))</f>
        <v>-25370</v>
      </c>
      <c r="S124" s="5"/>
      <c r="T124" s="5"/>
      <c r="U124" s="5"/>
      <c r="AM124" s="469"/>
      <c r="AN124" s="469"/>
    </row>
    <row r="125" spans="1:45" s="185" customFormat="1" ht="16.5" thickBot="1" x14ac:dyDescent="0.25">
      <c r="B125" s="236" t="s">
        <v>37</v>
      </c>
      <c r="C125" s="6">
        <f t="array" ref="C125">IFERROR(C124/INDEX(C$94:C$105,MATCH(TEXT(MAX(IF($A$107:$A$118=1,$B$107:$B$118)),"mmmm"),TEXT($B$94:$B$105,"mmmm"),0)),0)</f>
        <v>5.7588371932568251E-2</v>
      </c>
      <c r="D125" s="6">
        <f t="array" ref="D125">IFERROR(D124/INDEX(D$94:D$105,MATCH(TEXT(MAX(IF($A$107:$A$118=1,$B$107:$B$118)),"mmmm"),TEXT($B$94:$B$105,"mmmm"),0)),0)</f>
        <v>4.8027904480815668E-2</v>
      </c>
      <c r="E125" s="6">
        <f t="array" ref="E125">IFERROR(E124/INDEX(E$94:E$105,MATCH(TEXT(MAX(IF($A$107:$A$118=1,$B$107:$B$118)),"mmmm"),TEXT($B$94:$B$105,"mmmm"),0)),0)</f>
        <v>8.3748064171766234E-3</v>
      </c>
      <c r="F125" s="6">
        <f t="array" ref="F125">IFERROR(F124/INDEX(F$94:F$105,MATCH(TEXT(MAX(IF($A$107:$A$118=1,$B$107:$B$118)),"mmmm"),TEXT($B$94:$B$105,"mmmm"),0)),0)</f>
        <v>0.34183840366372259</v>
      </c>
      <c r="G125" s="6">
        <f t="array" ref="G125">IFERROR(G124/INDEX(G$94:G$105,MATCH(TEXT(MAX(IF($A$107:$A$118=1,$B$107:$B$118)),"mmmm"),TEXT($B$94:$B$105,"mmmm"),0)),0)</f>
        <v>0.14458337310298749</v>
      </c>
      <c r="H125" s="6">
        <f t="array" ref="H125">IFERROR(H124/INDEX(H$94:H$105,MATCH(TEXT(MAX(IF($A$107:$A$118=1,$B$107:$B$118)),"mmmm"),TEXT($B$94:$B$105,"mmmm"),0)),0)</f>
        <v>-0.19605422682684889</v>
      </c>
      <c r="I125" s="6">
        <f t="array" ref="I125">IFERROR(I124/INDEX(I$94:I$105,MATCH(TEXT(MAX(IF($A$107:$A$118=1,$B$107:$B$118)),"mmmm"),TEXT($B$94:$B$105,"mmmm"),0)),0)</f>
        <v>-1.6615450878399086E-2</v>
      </c>
      <c r="J125" s="6">
        <f t="array" ref="J125">IFERROR(J124/INDEX(J$94:J$105,MATCH(TEXT(MAX(IF($A$107:$A$118=1,$B$107:$B$118)),"mmmm"),TEXT($B$94:$B$105,"mmmm"),0)),0)</f>
        <v>-0.50165016501650161</v>
      </c>
      <c r="K125" s="6">
        <f t="array" ref="K125">IFERROR(K124/INDEX(K$94:K$105,MATCH(TEXT(MAX(IF($A$107:$A$118=1,$B$107:$B$118)),"mmmm"),TEXT($B$94:$B$105,"mmmm"),0)),0)</f>
        <v>-6.9504760048638509E-2</v>
      </c>
      <c r="L125" s="6">
        <f t="array" ref="L125">IFERROR(L124/INDEX(L$94:L$105,MATCH(TEXT(MAX(IF($A$107:$A$118=1,$B$107:$B$118)),"mmmm"),TEXT($B$94:$B$105,"mmmm"),0)),0)</f>
        <v>6.3863476425052773E-2</v>
      </c>
      <c r="M125" s="6">
        <f t="array" ref="M125">IFERROR(M124/INDEX(M$94:M$105,MATCH(TEXT(MAX(IF($A$107:$A$118=1,$B$107:$B$118)),"mmmm"),TEXT($B$94:$B$105,"mmmm"),0)),0)</f>
        <v>5.8582972014189987E-2</v>
      </c>
      <c r="N125" s="6">
        <f t="array" ref="N125">IFERROR(N124/INDEX(N$94:N$105,MATCH(TEXT(MAX(IF($A$107:$A$118=1,$B$107:$B$118)),"mmmm"),TEXT($B$94:$B$105,"mmmm"),0)),0)</f>
        <v>-0.32848324514991184</v>
      </c>
      <c r="O125" s="6">
        <f t="array" ref="O125">IFERROR(O124/INDEX(O$94:O$105,MATCH(TEXT(MAX(IF($A$107:$A$118=1,$B$107:$B$118)),"mmmm"),TEXT($B$94:$B$105,"mmmm"),0)),0)</f>
        <v>0.24078341013824886</v>
      </c>
      <c r="P125" s="6">
        <f t="array" ref="P125">IFERROR(P124/INDEX(P$94:P$105,MATCH(TEXT(MAX(IF($A$107:$A$118=1,$B$107:$B$118)),"mmmm"),TEXT($B$94:$B$105,"mmmm"),0)),0)</f>
        <v>0.10164609053497943</v>
      </c>
      <c r="Q125" s="6">
        <f t="array" ref="Q125">IFERROR(Q124/INDEX(Q$94:Q$105,MATCH(TEXT(MAX(IF($A$107:$A$118=1,$B$107:$B$118)),"mmmm"),TEXT($B$94:$B$105,"mmmm"),0)),0)</f>
        <v>4.8247978436657679E-2</v>
      </c>
      <c r="R125" s="472">
        <f t="array" ref="R125">IFERROR(R124/INDEX(R$94:R$105,MATCH(TEXT(MAX(IF($A$107:$A$118=1,$B$107:$B$118)),"mmmm"),TEXT($B$94:$B$105,"mmmm"),0)),0)</f>
        <v>-1.8880646332823301E-2</v>
      </c>
      <c r="S125" s="6"/>
      <c r="T125" s="72"/>
      <c r="U125" s="6"/>
      <c r="AA125" s="186"/>
      <c r="AM125" s="469"/>
      <c r="AN125" s="469"/>
    </row>
    <row r="126" spans="1:45" s="185" customFormat="1" ht="18.75" hidden="1" x14ac:dyDescent="0.2">
      <c r="B126" s="282" t="s">
        <v>259</v>
      </c>
      <c r="C126" s="5"/>
      <c r="D126" s="5"/>
      <c r="E126" s="5"/>
      <c r="F126" s="5"/>
      <c r="G126" s="283"/>
      <c r="H126" s="283"/>
      <c r="I126" s="5"/>
      <c r="J126" s="5"/>
      <c r="K126" s="5"/>
      <c r="L126" s="5"/>
      <c r="M126" s="5"/>
      <c r="N126" s="5"/>
      <c r="O126" s="5"/>
      <c r="P126" s="5"/>
      <c r="Q126" s="5"/>
      <c r="R126" s="235"/>
      <c r="S126" s="5"/>
      <c r="AM126" s="469"/>
    </row>
    <row r="127" spans="1:45" s="185" customFormat="1" hidden="1" x14ac:dyDescent="0.2">
      <c r="B127" s="282" t="s">
        <v>26</v>
      </c>
      <c r="C127" s="5"/>
      <c r="D127" s="5"/>
      <c r="E127" s="5"/>
      <c r="F127" s="5"/>
      <c r="G127" s="5"/>
      <c r="H127" s="5"/>
      <c r="I127" s="5"/>
      <c r="J127" s="5"/>
      <c r="K127" s="5"/>
      <c r="L127" s="5"/>
      <c r="M127" s="5"/>
      <c r="N127" s="5"/>
      <c r="O127" s="5"/>
      <c r="P127" s="5"/>
      <c r="Q127" s="5"/>
      <c r="R127" s="235"/>
      <c r="S127" s="5"/>
      <c r="T127" s="470"/>
      <c r="AM127" s="469"/>
    </row>
    <row r="128" spans="1:45" s="185" customFormat="1" hidden="1" x14ac:dyDescent="0.2">
      <c r="B128" s="385" t="s">
        <v>99</v>
      </c>
      <c r="C128" s="5"/>
      <c r="D128" s="5"/>
      <c r="E128" s="5"/>
      <c r="F128" s="5"/>
      <c r="G128" s="283"/>
      <c r="H128" s="283"/>
      <c r="I128" s="5"/>
      <c r="J128" s="5"/>
      <c r="K128" s="5"/>
      <c r="L128" s="5"/>
      <c r="M128" s="5"/>
      <c r="N128" s="5"/>
      <c r="O128" s="5"/>
      <c r="P128" s="5"/>
      <c r="Q128" s="5"/>
      <c r="R128" s="235"/>
      <c r="S128" s="5"/>
      <c r="T128" s="374"/>
      <c r="AL128" s="469"/>
      <c r="AM128" s="469"/>
      <c r="AN128" s="469"/>
      <c r="AO128" s="469"/>
      <c r="AP128" s="469"/>
      <c r="AQ128" s="469"/>
      <c r="AR128" s="469"/>
      <c r="AS128" s="469"/>
    </row>
    <row r="129" spans="1:45" s="185" customFormat="1" ht="16.5" hidden="1" thickBot="1" x14ac:dyDescent="0.25">
      <c r="B129" s="386" t="s">
        <v>27</v>
      </c>
      <c r="C129" s="284"/>
      <c r="D129" s="284"/>
      <c r="E129" s="284"/>
      <c r="F129" s="284"/>
      <c r="G129" s="285"/>
      <c r="H129" s="285"/>
      <c r="I129" s="284"/>
      <c r="J129" s="284"/>
      <c r="K129" s="284"/>
      <c r="L129" s="284"/>
      <c r="M129" s="284"/>
      <c r="N129" s="284"/>
      <c r="O129" s="284"/>
      <c r="P129" s="284"/>
      <c r="Q129" s="284"/>
      <c r="R129" s="473"/>
      <c r="S129" s="5"/>
      <c r="AL129" s="469"/>
      <c r="AM129" s="469"/>
      <c r="AN129" s="469"/>
      <c r="AO129" s="469"/>
      <c r="AP129" s="469"/>
      <c r="AQ129" s="469"/>
      <c r="AR129" s="469"/>
      <c r="AS129" s="469"/>
    </row>
    <row r="130" spans="1:45" s="185" customFormat="1" ht="16.5" hidden="1" thickBot="1" x14ac:dyDescent="0.25">
      <c r="B130" s="282"/>
      <c r="C130" s="5"/>
      <c r="D130" s="5"/>
      <c r="E130" s="5"/>
      <c r="F130" s="5"/>
      <c r="G130" s="5"/>
      <c r="H130" s="5"/>
      <c r="I130" s="5"/>
      <c r="J130" s="5"/>
      <c r="K130" s="5"/>
      <c r="L130" s="5"/>
      <c r="M130" s="5"/>
      <c r="N130" s="5"/>
      <c r="O130" s="5"/>
      <c r="P130" s="5"/>
      <c r="Q130" s="5"/>
      <c r="R130" s="235"/>
      <c r="S130" s="5"/>
      <c r="AL130" s="469"/>
      <c r="AM130" s="469"/>
      <c r="AN130" s="469"/>
      <c r="AO130" s="469"/>
      <c r="AP130" s="469"/>
      <c r="AQ130" s="469"/>
      <c r="AR130" s="469"/>
      <c r="AS130" s="469"/>
    </row>
    <row r="131" spans="1:45" s="183" customFormat="1" x14ac:dyDescent="0.2">
      <c r="B131" s="669" t="s">
        <v>24</v>
      </c>
      <c r="C131" s="670"/>
      <c r="D131" s="670"/>
      <c r="E131" s="670"/>
      <c r="F131" s="670"/>
      <c r="G131" s="670"/>
      <c r="H131" s="670"/>
      <c r="I131" s="670"/>
      <c r="J131" s="670"/>
      <c r="K131" s="670"/>
      <c r="L131" s="670"/>
      <c r="M131" s="670"/>
      <c r="N131" s="670"/>
      <c r="O131" s="670"/>
      <c r="P131" s="670"/>
      <c r="Q131" s="670"/>
      <c r="R131" s="671"/>
      <c r="S131" s="155"/>
      <c r="AC131" s="474"/>
      <c r="AD131" s="474"/>
      <c r="AE131" s="474"/>
      <c r="AF131" s="474"/>
      <c r="AG131" s="474"/>
      <c r="AH131" s="474"/>
      <c r="AL131" s="469"/>
      <c r="AM131" s="469"/>
      <c r="AN131" s="469"/>
      <c r="AO131" s="469"/>
      <c r="AP131" s="469"/>
      <c r="AQ131" s="469"/>
      <c r="AR131" s="469"/>
      <c r="AS131" s="469"/>
    </row>
    <row r="132" spans="1:45" s="183" customFormat="1" x14ac:dyDescent="0.25">
      <c r="B132" s="672" t="s">
        <v>291</v>
      </c>
      <c r="C132" s="673"/>
      <c r="D132" s="673"/>
      <c r="E132" s="673"/>
      <c r="F132" s="673"/>
      <c r="G132" s="673"/>
      <c r="H132" s="673"/>
      <c r="I132" s="673"/>
      <c r="J132" s="673"/>
      <c r="K132" s="673"/>
      <c r="L132" s="673"/>
      <c r="M132" s="673"/>
      <c r="N132" s="673"/>
      <c r="O132" s="673"/>
      <c r="P132" s="673"/>
      <c r="Q132" s="673"/>
      <c r="R132" s="674"/>
      <c r="S132" s="260"/>
      <c r="AC132" s="475"/>
      <c r="AD132" s="475"/>
      <c r="AE132" s="475"/>
      <c r="AF132" s="475"/>
      <c r="AG132" s="475"/>
      <c r="AH132" s="475"/>
      <c r="AL132" s="469"/>
      <c r="AM132" s="469"/>
      <c r="AN132" s="469"/>
      <c r="AO132" s="469"/>
      <c r="AP132" s="469"/>
      <c r="AQ132" s="469"/>
      <c r="AR132" s="469"/>
      <c r="AS132" s="469"/>
    </row>
    <row r="133" spans="1:45" s="183" customFormat="1" x14ac:dyDescent="0.25">
      <c r="B133" s="675" t="s">
        <v>343</v>
      </c>
      <c r="C133" s="676"/>
      <c r="D133" s="676"/>
      <c r="E133" s="676"/>
      <c r="F133" s="676"/>
      <c r="G133" s="676"/>
      <c r="H133" s="676"/>
      <c r="I133" s="676"/>
      <c r="J133" s="676"/>
      <c r="K133" s="676"/>
      <c r="L133" s="676"/>
      <c r="M133" s="676"/>
      <c r="N133" s="676"/>
      <c r="O133" s="676"/>
      <c r="P133" s="676"/>
      <c r="Q133" s="676"/>
      <c r="R133" s="677"/>
      <c r="S133" s="260"/>
      <c r="AC133" s="475"/>
      <c r="AD133" s="475"/>
      <c r="AE133" s="475"/>
      <c r="AF133" s="475"/>
      <c r="AG133" s="475"/>
      <c r="AH133" s="475"/>
      <c r="AL133" s="469"/>
      <c r="AM133" s="469"/>
      <c r="AN133" s="469"/>
      <c r="AO133" s="469"/>
      <c r="AP133" s="469"/>
      <c r="AQ133" s="469"/>
      <c r="AR133" s="469"/>
      <c r="AS133" s="469"/>
    </row>
    <row r="134" spans="1:45" s="183" customFormat="1" ht="26.25" customHeight="1" x14ac:dyDescent="0.25">
      <c r="B134" s="675" t="s">
        <v>359</v>
      </c>
      <c r="C134" s="676"/>
      <c r="D134" s="676"/>
      <c r="E134" s="676"/>
      <c r="F134" s="676"/>
      <c r="G134" s="676"/>
      <c r="H134" s="676"/>
      <c r="I134" s="676"/>
      <c r="J134" s="676"/>
      <c r="K134" s="676"/>
      <c r="L134" s="676"/>
      <c r="M134" s="676"/>
      <c r="N134" s="676"/>
      <c r="O134" s="676"/>
      <c r="P134" s="676"/>
      <c r="Q134" s="676"/>
      <c r="R134" s="677"/>
      <c r="S134" s="260"/>
      <c r="W134" s="861"/>
      <c r="X134" s="861"/>
      <c r="Y134" s="861"/>
      <c r="Z134" s="861"/>
      <c r="AA134" s="861"/>
      <c r="AB134" s="861"/>
      <c r="AC134" s="862"/>
      <c r="AD134" s="862"/>
      <c r="AE134" s="862"/>
      <c r="AF134" s="862"/>
      <c r="AG134" s="862"/>
      <c r="AH134" s="862"/>
      <c r="AI134" s="861"/>
      <c r="AL134" s="469"/>
      <c r="AM134" s="469"/>
      <c r="AN134" s="469"/>
      <c r="AO134" s="469"/>
      <c r="AP134" s="469"/>
      <c r="AQ134" s="469"/>
      <c r="AR134" s="469"/>
      <c r="AS134" s="469"/>
    </row>
    <row r="135" spans="1:45" s="183" customFormat="1" ht="16.5" customHeight="1" x14ac:dyDescent="0.25">
      <c r="B135" s="675" t="s">
        <v>345</v>
      </c>
      <c r="C135" s="676"/>
      <c r="D135" s="676"/>
      <c r="E135" s="676"/>
      <c r="F135" s="676"/>
      <c r="G135" s="676"/>
      <c r="H135" s="676"/>
      <c r="I135" s="676"/>
      <c r="J135" s="676"/>
      <c r="K135" s="676"/>
      <c r="L135" s="676"/>
      <c r="M135" s="676"/>
      <c r="N135" s="676"/>
      <c r="O135" s="676"/>
      <c r="P135" s="676"/>
      <c r="Q135" s="676"/>
      <c r="R135" s="677"/>
      <c r="S135" s="260"/>
      <c r="T135" s="260"/>
      <c r="U135" s="260"/>
      <c r="W135" s="861"/>
      <c r="X135" s="861"/>
      <c r="Y135" s="861"/>
      <c r="Z135" s="861"/>
      <c r="AA135" s="613"/>
      <c r="AB135" s="613"/>
      <c r="AC135" s="477"/>
      <c r="AD135" s="477"/>
      <c r="AE135" s="477"/>
      <c r="AF135" s="477"/>
      <c r="AG135" s="862"/>
      <c r="AH135" s="862"/>
      <c r="AI135" s="861"/>
      <c r="AL135" s="469"/>
      <c r="AM135" s="469"/>
      <c r="AN135" s="469"/>
      <c r="AO135" s="469"/>
      <c r="AP135" s="469"/>
      <c r="AQ135" s="469"/>
      <c r="AR135" s="469"/>
      <c r="AS135" s="469"/>
    </row>
    <row r="136" spans="1:45" ht="32.25" thickBot="1" x14ac:dyDescent="0.3">
      <c r="B136" s="678" t="s">
        <v>379</v>
      </c>
      <c r="C136" s="679"/>
      <c r="D136" s="679"/>
      <c r="E136" s="679"/>
      <c r="F136" s="679"/>
      <c r="G136" s="679"/>
      <c r="H136" s="679"/>
      <c r="I136" s="679"/>
      <c r="J136" s="679"/>
      <c r="K136" s="679"/>
      <c r="L136" s="679"/>
      <c r="M136" s="679"/>
      <c r="N136" s="679"/>
      <c r="O136" s="679"/>
      <c r="P136" s="679"/>
      <c r="Q136" s="679"/>
      <c r="R136" s="680"/>
      <c r="S136" s="823" t="s">
        <v>306</v>
      </c>
      <c r="W136" s="479"/>
      <c r="X136" s="479"/>
      <c r="Y136" s="479"/>
      <c r="Z136" s="479"/>
      <c r="AA136" s="476"/>
      <c r="AB136" s="476"/>
      <c r="AC136" s="477"/>
      <c r="AD136" s="478"/>
      <c r="AE136" s="476"/>
      <c r="AF136" s="477"/>
      <c r="AG136" s="862"/>
      <c r="AH136" s="862"/>
      <c r="AI136" s="479"/>
      <c r="AL136" s="469"/>
      <c r="AM136" s="469"/>
      <c r="AN136" s="469"/>
      <c r="AO136" s="469"/>
      <c r="AP136" s="469"/>
      <c r="AQ136" s="469"/>
      <c r="AR136" s="469"/>
      <c r="AS136" s="469"/>
    </row>
    <row r="137" spans="1:45" ht="15.75" customHeight="1" x14ac:dyDescent="0.25">
      <c r="A137" s="479"/>
      <c r="B137" s="681"/>
      <c r="C137" s="681"/>
      <c r="D137" s="681"/>
      <c r="E137" s="681"/>
      <c r="F137" s="681"/>
      <c r="G137" s="681"/>
      <c r="H137" s="681"/>
      <c r="I137" s="681"/>
      <c r="J137" s="681"/>
      <c r="K137" s="681"/>
      <c r="L137" s="681"/>
      <c r="M137" s="681"/>
      <c r="N137" s="681"/>
      <c r="O137" s="681"/>
      <c r="P137" s="681"/>
      <c r="Q137" s="681"/>
      <c r="R137" s="681"/>
      <c r="S137" s="479"/>
      <c r="W137" s="479"/>
      <c r="X137" s="479"/>
      <c r="Y137" s="479"/>
      <c r="Z137" s="479"/>
      <c r="AA137" s="476"/>
      <c r="AB137" s="476"/>
      <c r="AC137" s="477"/>
      <c r="AD137" s="478"/>
      <c r="AE137" s="476"/>
      <c r="AF137" s="477"/>
      <c r="AG137" s="862"/>
      <c r="AH137" s="862"/>
      <c r="AI137" s="479"/>
      <c r="AL137" s="469"/>
      <c r="AM137" s="469"/>
      <c r="AN137" s="469"/>
      <c r="AO137" s="469"/>
      <c r="AP137" s="469"/>
      <c r="AQ137" s="469"/>
      <c r="AR137" s="469"/>
      <c r="AS137" s="469"/>
    </row>
    <row r="138" spans="1:45" ht="16.5" customHeight="1" x14ac:dyDescent="0.25">
      <c r="A138" s="479"/>
      <c r="B138" s="681"/>
      <c r="C138" s="681"/>
      <c r="D138" s="681"/>
      <c r="E138" s="681"/>
      <c r="F138" s="681"/>
      <c r="G138" s="681"/>
      <c r="H138" s="681"/>
      <c r="I138" s="681"/>
      <c r="J138" s="681"/>
      <c r="K138" s="681"/>
      <c r="L138" s="681"/>
      <c r="M138" s="681"/>
      <c r="N138" s="681"/>
      <c r="O138" s="681"/>
      <c r="P138" s="681"/>
      <c r="Q138" s="681"/>
      <c r="R138" s="681"/>
      <c r="S138" s="479"/>
      <c r="W138" s="479"/>
      <c r="X138" s="479"/>
      <c r="Y138" s="479"/>
      <c r="Z138" s="479"/>
      <c r="AA138" s="476"/>
      <c r="AB138" s="476"/>
      <c r="AC138" s="477"/>
      <c r="AD138" s="478"/>
      <c r="AE138" s="476"/>
      <c r="AF138" s="477"/>
      <c r="AG138" s="862"/>
      <c r="AH138" s="862"/>
      <c r="AI138" s="479"/>
      <c r="AL138" s="469"/>
      <c r="AM138" s="469"/>
      <c r="AN138" s="469"/>
      <c r="AO138" s="469"/>
      <c r="AP138" s="469"/>
      <c r="AQ138" s="469"/>
      <c r="AR138" s="469"/>
      <c r="AS138" s="469"/>
    </row>
    <row r="139" spans="1:45" ht="15.75" customHeight="1" x14ac:dyDescent="0.25">
      <c r="A139" s="479"/>
      <c r="B139" s="681"/>
      <c r="C139" s="681"/>
      <c r="D139" s="681"/>
      <c r="E139" s="681"/>
      <c r="F139" s="681"/>
      <c r="G139" s="681"/>
      <c r="H139" s="681"/>
      <c r="I139" s="681"/>
      <c r="J139" s="681"/>
      <c r="K139" s="681"/>
      <c r="L139" s="681"/>
      <c r="M139" s="681"/>
      <c r="N139" s="681"/>
      <c r="O139" s="681"/>
      <c r="P139" s="681"/>
      <c r="Q139" s="681"/>
      <c r="R139" s="681"/>
      <c r="S139" s="479"/>
      <c r="W139" s="479"/>
      <c r="X139" s="479"/>
      <c r="Y139" s="479"/>
      <c r="Z139" s="479"/>
      <c r="AA139" s="476"/>
      <c r="AB139" s="476"/>
      <c r="AC139" s="477"/>
      <c r="AD139" s="478"/>
      <c r="AE139" s="476"/>
      <c r="AF139" s="477"/>
      <c r="AG139" s="862"/>
      <c r="AH139" s="862"/>
      <c r="AI139" s="479"/>
      <c r="AL139" s="469"/>
      <c r="AM139" s="469"/>
      <c r="AN139" s="469"/>
      <c r="AO139" s="469"/>
      <c r="AP139" s="469"/>
      <c r="AQ139" s="469"/>
      <c r="AR139" s="469"/>
      <c r="AS139" s="469"/>
    </row>
    <row r="140" spans="1:45" x14ac:dyDescent="0.25">
      <c r="A140" s="479"/>
      <c r="B140" s="873"/>
      <c r="C140" s="682"/>
      <c r="D140" s="682"/>
      <c r="E140" s="682"/>
      <c r="F140" s="682"/>
      <c r="G140" s="682"/>
      <c r="H140" s="682"/>
      <c r="I140" s="682"/>
      <c r="J140" s="682"/>
      <c r="K140" s="682"/>
      <c r="L140" s="682"/>
      <c r="M140" s="682"/>
      <c r="N140" s="682"/>
      <c r="O140" s="682"/>
      <c r="P140" s="682"/>
      <c r="Q140" s="682"/>
      <c r="R140" s="682"/>
      <c r="S140" s="479"/>
      <c r="W140" s="479"/>
      <c r="X140" s="479"/>
      <c r="Y140" s="479"/>
      <c r="Z140" s="479"/>
      <c r="AA140" s="476"/>
      <c r="AB140" s="476"/>
      <c r="AC140" s="477"/>
      <c r="AD140" s="478"/>
      <c r="AE140" s="476"/>
      <c r="AF140" s="477"/>
      <c r="AG140" s="862"/>
      <c r="AH140" s="862"/>
      <c r="AI140" s="479"/>
      <c r="AL140" s="469"/>
      <c r="AM140" s="469"/>
      <c r="AN140" s="469"/>
      <c r="AO140" s="469"/>
      <c r="AP140" s="469"/>
      <c r="AQ140" s="469"/>
      <c r="AR140" s="469"/>
      <c r="AS140" s="469"/>
    </row>
    <row r="141" spans="1:45" x14ac:dyDescent="0.25">
      <c r="A141" s="479"/>
      <c r="B141" s="874"/>
      <c r="C141" s="874"/>
      <c r="D141" s="874"/>
      <c r="E141" s="874"/>
      <c r="F141" s="874"/>
      <c r="G141" s="874"/>
      <c r="H141" s="874"/>
      <c r="I141" s="874"/>
      <c r="J141" s="874"/>
      <c r="K141" s="874"/>
      <c r="L141" s="874"/>
      <c r="M141" s="874"/>
      <c r="N141" s="874"/>
      <c r="O141" s="874"/>
      <c r="P141" s="874"/>
      <c r="Q141" s="874"/>
      <c r="R141" s="874"/>
      <c r="S141" s="479"/>
      <c r="W141" s="479"/>
      <c r="X141" s="479"/>
      <c r="Y141" s="479"/>
      <c r="Z141" s="479"/>
      <c r="AA141" s="476"/>
      <c r="AB141" s="476"/>
      <c r="AC141" s="477"/>
      <c r="AD141" s="478"/>
      <c r="AE141" s="476"/>
      <c r="AF141" s="477"/>
      <c r="AG141" s="862"/>
      <c r="AH141" s="862"/>
      <c r="AI141" s="479"/>
      <c r="AL141" s="469"/>
      <c r="AM141" s="469"/>
      <c r="AN141" s="469"/>
      <c r="AO141" s="469"/>
      <c r="AP141" s="469"/>
      <c r="AQ141" s="469"/>
      <c r="AR141" s="469"/>
      <c r="AS141" s="469"/>
    </row>
    <row r="142" spans="1:45" x14ac:dyDescent="0.2">
      <c r="B142" s="875"/>
      <c r="C142" s="876"/>
      <c r="D142" s="876"/>
      <c r="E142" s="876"/>
      <c r="F142" s="876"/>
      <c r="G142" s="876"/>
      <c r="H142" s="876"/>
      <c r="I142" s="876"/>
      <c r="J142" s="876"/>
      <c r="K142" s="876"/>
      <c r="L142" s="876"/>
      <c r="M142" s="876"/>
      <c r="N142" s="876"/>
      <c r="O142" s="876"/>
      <c r="P142" s="876"/>
      <c r="Q142" s="876"/>
      <c r="R142" s="479"/>
      <c r="S142" s="479"/>
      <c r="W142" s="479"/>
      <c r="X142" s="479"/>
      <c r="Y142" s="479"/>
      <c r="Z142" s="479"/>
      <c r="AA142" s="476"/>
      <c r="AB142" s="863"/>
      <c r="AC142" s="476"/>
      <c r="AD142" s="864"/>
      <c r="AE142" s="476"/>
      <c r="AF142" s="476"/>
      <c r="AG142" s="479"/>
      <c r="AH142" s="479"/>
      <c r="AI142" s="479"/>
      <c r="AL142" s="469"/>
      <c r="AM142" s="469"/>
      <c r="AN142" s="469"/>
      <c r="AO142" s="469"/>
      <c r="AP142" s="469"/>
      <c r="AQ142" s="469"/>
      <c r="AR142" s="469"/>
      <c r="AS142" s="469"/>
    </row>
    <row r="143" spans="1:45" x14ac:dyDescent="0.2">
      <c r="B143" s="875"/>
      <c r="C143" s="876"/>
      <c r="D143" s="876"/>
      <c r="E143" s="876"/>
      <c r="F143" s="876"/>
      <c r="G143" s="876"/>
      <c r="H143" s="876"/>
      <c r="I143" s="876"/>
      <c r="J143" s="876"/>
      <c r="K143" s="876"/>
      <c r="L143" s="876"/>
      <c r="M143" s="876"/>
      <c r="N143" s="876"/>
      <c r="O143" s="876"/>
      <c r="P143" s="876"/>
      <c r="Q143" s="876"/>
      <c r="R143" s="479"/>
      <c r="S143" s="479"/>
      <c r="W143" s="865"/>
      <c r="X143" s="479"/>
      <c r="Y143" s="479"/>
      <c r="Z143" s="479"/>
      <c r="AA143" s="479"/>
      <c r="AB143" s="479"/>
      <c r="AC143" s="479"/>
      <c r="AD143" s="479"/>
      <c r="AE143" s="479"/>
      <c r="AF143" s="479"/>
      <c r="AG143" s="479"/>
      <c r="AH143" s="479"/>
      <c r="AI143" s="479"/>
      <c r="AL143" s="469"/>
      <c r="AM143" s="469"/>
      <c r="AN143" s="469"/>
      <c r="AO143" s="469"/>
      <c r="AP143" s="469"/>
      <c r="AQ143" s="469"/>
      <c r="AR143" s="469"/>
      <c r="AS143" s="469"/>
    </row>
    <row r="144" spans="1:45" x14ac:dyDescent="0.2">
      <c r="C144" s="192"/>
      <c r="D144" s="192"/>
      <c r="E144" s="192"/>
      <c r="F144" s="192"/>
      <c r="G144" s="192"/>
      <c r="H144" s="192"/>
      <c r="I144" s="192"/>
      <c r="J144" s="192"/>
      <c r="K144" s="192"/>
      <c r="L144" s="192"/>
      <c r="M144" s="192"/>
      <c r="N144" s="192"/>
      <c r="O144" s="192"/>
      <c r="P144" s="192"/>
      <c r="Q144" s="192"/>
      <c r="R144" s="192"/>
      <c r="S144" s="192"/>
      <c r="T144" s="192"/>
      <c r="U144" s="192"/>
      <c r="W144" s="479"/>
      <c r="X144" s="5"/>
      <c r="Y144" s="5"/>
      <c r="Z144" s="866"/>
      <c r="AA144" s="867"/>
      <c r="AB144" s="866"/>
      <c r="AC144" s="866"/>
      <c r="AD144" s="867"/>
      <c r="AE144" s="867"/>
      <c r="AF144" s="479"/>
      <c r="AG144" s="479"/>
      <c r="AH144" s="479"/>
      <c r="AI144" s="479"/>
      <c r="AL144" s="469"/>
      <c r="AM144" s="469"/>
      <c r="AN144" s="469"/>
      <c r="AO144" s="469"/>
      <c r="AP144" s="469"/>
      <c r="AQ144" s="469"/>
      <c r="AR144" s="469"/>
      <c r="AS144" s="469"/>
    </row>
    <row r="145" spans="3:45" x14ac:dyDescent="0.2">
      <c r="W145" s="479"/>
      <c r="X145" s="5"/>
      <c r="Y145" s="5"/>
      <c r="Z145" s="4"/>
      <c r="AA145" s="867"/>
      <c r="AB145" s="866"/>
      <c r="AC145" s="866"/>
      <c r="AD145" s="866"/>
      <c r="AE145" s="866"/>
      <c r="AF145" s="479"/>
      <c r="AG145" s="479"/>
      <c r="AH145" s="479"/>
      <c r="AI145" s="479"/>
      <c r="AL145" s="469"/>
      <c r="AM145" s="469"/>
      <c r="AN145" s="469"/>
      <c r="AO145" s="469"/>
      <c r="AP145" s="469"/>
      <c r="AQ145" s="469"/>
      <c r="AR145" s="469"/>
      <c r="AS145" s="469"/>
    </row>
    <row r="146" spans="3:45" x14ac:dyDescent="0.2">
      <c r="C146" s="481"/>
      <c r="D146" s="481"/>
      <c r="E146" s="481"/>
      <c r="F146" s="481"/>
      <c r="G146" s="481"/>
      <c r="H146" s="481"/>
      <c r="I146" s="481"/>
      <c r="J146" s="481"/>
      <c r="K146" s="481"/>
      <c r="L146" s="481"/>
      <c r="M146" s="481"/>
      <c r="N146" s="481"/>
      <c r="O146" s="481"/>
      <c r="P146" s="481"/>
      <c r="Q146" s="481"/>
      <c r="R146" s="481"/>
      <c r="S146" s="481"/>
      <c r="T146" s="481"/>
      <c r="U146" s="481"/>
      <c r="V146" s="192"/>
      <c r="W146" s="479"/>
      <c r="X146" s="5"/>
      <c r="Y146" s="5"/>
      <c r="Z146" s="866"/>
      <c r="AA146" s="867"/>
      <c r="AB146" s="866"/>
      <c r="AC146" s="866"/>
      <c r="AD146" s="866"/>
      <c r="AE146" s="866"/>
      <c r="AF146" s="479"/>
      <c r="AG146" s="479"/>
      <c r="AH146" s="479"/>
      <c r="AI146" s="479"/>
      <c r="AL146" s="469"/>
      <c r="AM146" s="469"/>
      <c r="AN146" s="469"/>
      <c r="AO146" s="469"/>
      <c r="AP146" s="469"/>
      <c r="AQ146" s="469"/>
      <c r="AR146" s="469"/>
      <c r="AS146" s="469"/>
    </row>
    <row r="147" spans="3:45" x14ac:dyDescent="0.2">
      <c r="C147" s="481"/>
      <c r="D147" s="481"/>
      <c r="E147" s="481"/>
      <c r="F147" s="481"/>
      <c r="G147" s="481"/>
      <c r="H147" s="481"/>
      <c r="I147" s="481"/>
      <c r="J147" s="481"/>
      <c r="K147" s="481"/>
      <c r="L147" s="481"/>
      <c r="M147" s="481"/>
      <c r="N147" s="481"/>
      <c r="O147" s="481"/>
      <c r="P147" s="481"/>
      <c r="Q147" s="481"/>
      <c r="R147" s="481"/>
      <c r="S147" s="481"/>
      <c r="T147" s="481"/>
      <c r="U147" s="481"/>
      <c r="V147" s="192"/>
      <c r="W147" s="479"/>
      <c r="X147" s="5"/>
      <c r="Y147" s="5"/>
      <c r="Z147" s="4"/>
      <c r="AA147" s="867"/>
      <c r="AB147" s="868"/>
      <c r="AC147" s="867"/>
      <c r="AD147" s="866"/>
      <c r="AE147" s="866"/>
      <c r="AF147" s="479"/>
      <c r="AG147" s="479"/>
      <c r="AH147" s="479"/>
      <c r="AI147" s="479"/>
    </row>
    <row r="148" spans="3:45" x14ac:dyDescent="0.2">
      <c r="C148" s="481"/>
      <c r="D148" s="481"/>
      <c r="E148" s="481"/>
      <c r="F148" s="481"/>
      <c r="G148" s="481"/>
      <c r="H148" s="481"/>
      <c r="I148" s="481"/>
      <c r="J148" s="481"/>
      <c r="K148" s="481"/>
      <c r="L148" s="481"/>
      <c r="M148" s="481"/>
      <c r="N148" s="481"/>
      <c r="O148" s="481"/>
      <c r="P148" s="481"/>
      <c r="Q148" s="481"/>
      <c r="R148" s="481"/>
      <c r="S148" s="481"/>
      <c r="T148" s="481"/>
      <c r="U148" s="481"/>
      <c r="V148" s="192"/>
      <c r="W148" s="479"/>
      <c r="X148" s="5"/>
      <c r="Y148" s="5"/>
      <c r="Z148" s="866"/>
      <c r="AA148" s="866"/>
      <c r="AB148" s="866"/>
      <c r="AC148" s="866"/>
      <c r="AD148" s="866"/>
      <c r="AE148" s="866"/>
      <c r="AF148" s="479"/>
      <c r="AG148" s="479"/>
      <c r="AH148" s="479"/>
      <c r="AI148" s="479"/>
    </row>
    <row r="149" spans="3:45" x14ac:dyDescent="0.2">
      <c r="C149" s="481"/>
      <c r="D149" s="481"/>
      <c r="E149" s="481"/>
      <c r="F149" s="481"/>
      <c r="G149" s="481"/>
      <c r="H149" s="481"/>
      <c r="I149" s="481"/>
      <c r="J149" s="481"/>
      <c r="K149" s="481"/>
      <c r="L149" s="481"/>
      <c r="M149" s="481"/>
      <c r="N149" s="481"/>
      <c r="O149" s="481"/>
      <c r="P149" s="481"/>
      <c r="Q149" s="481"/>
      <c r="R149" s="481"/>
      <c r="S149" s="481"/>
      <c r="T149" s="481"/>
      <c r="U149" s="481"/>
      <c r="V149" s="192"/>
      <c r="W149" s="479"/>
      <c r="X149" s="869"/>
      <c r="Y149" s="155"/>
      <c r="Z149" s="861"/>
      <c r="AA149" s="861"/>
      <c r="AB149" s="861"/>
      <c r="AC149" s="861"/>
      <c r="AD149" s="861"/>
      <c r="AE149" s="861"/>
      <c r="AF149" s="479"/>
      <c r="AG149" s="479"/>
      <c r="AH149" s="479"/>
      <c r="AI149" s="479"/>
    </row>
    <row r="150" spans="3:45" x14ac:dyDescent="0.2">
      <c r="C150" s="481"/>
      <c r="D150" s="481"/>
      <c r="E150" s="481"/>
      <c r="F150" s="481"/>
      <c r="G150" s="481"/>
      <c r="H150" s="481"/>
      <c r="I150" s="481"/>
      <c r="J150" s="481"/>
      <c r="K150" s="481"/>
      <c r="L150" s="481"/>
      <c r="M150" s="481"/>
      <c r="N150" s="481"/>
      <c r="O150" s="481"/>
      <c r="P150" s="481"/>
      <c r="Q150" s="481"/>
      <c r="R150" s="481"/>
      <c r="S150" s="481"/>
      <c r="T150" s="481"/>
      <c r="U150" s="481"/>
      <c r="V150" s="192"/>
      <c r="W150" s="479"/>
      <c r="X150" s="870"/>
      <c r="Y150" s="260"/>
      <c r="Z150" s="861"/>
      <c r="AA150" s="861"/>
      <c r="AB150" s="861"/>
      <c r="AC150" s="861"/>
      <c r="AD150" s="861"/>
      <c r="AE150" s="861"/>
      <c r="AF150" s="479"/>
      <c r="AG150" s="479"/>
      <c r="AH150" s="479"/>
      <c r="AI150" s="479"/>
    </row>
    <row r="151" spans="3:45" x14ac:dyDescent="0.2">
      <c r="C151" s="481"/>
      <c r="D151" s="481"/>
      <c r="E151" s="481"/>
      <c r="F151" s="481"/>
      <c r="G151" s="481"/>
      <c r="H151" s="481"/>
      <c r="I151" s="481"/>
      <c r="J151" s="481"/>
      <c r="K151" s="481"/>
      <c r="L151" s="481"/>
      <c r="M151" s="481"/>
      <c r="N151" s="481"/>
      <c r="O151" s="481"/>
      <c r="P151" s="481"/>
      <c r="Q151" s="481"/>
      <c r="R151" s="481"/>
      <c r="S151" s="481"/>
      <c r="T151" s="481"/>
      <c r="U151" s="481"/>
      <c r="V151" s="192"/>
      <c r="W151" s="479"/>
      <c r="X151" s="479"/>
      <c r="Y151" s="479"/>
      <c r="Z151" s="479"/>
      <c r="AA151" s="479"/>
      <c r="AB151" s="479"/>
      <c r="AC151" s="479"/>
      <c r="AD151" s="479"/>
      <c r="AE151" s="479"/>
      <c r="AF151" s="479"/>
      <c r="AG151" s="479"/>
      <c r="AH151" s="479"/>
      <c r="AI151" s="479"/>
    </row>
    <row r="152" spans="3:45" x14ac:dyDescent="0.25">
      <c r="C152" s="481"/>
      <c r="D152" s="481"/>
      <c r="E152" s="481"/>
      <c r="F152" s="481"/>
      <c r="G152" s="481"/>
      <c r="H152" s="481"/>
      <c r="I152" s="481"/>
      <c r="J152" s="481"/>
      <c r="K152" s="481"/>
      <c r="L152" s="481"/>
      <c r="M152" s="481"/>
      <c r="N152" s="481"/>
      <c r="O152" s="481"/>
      <c r="P152" s="481"/>
      <c r="Q152" s="481"/>
      <c r="R152" s="481"/>
      <c r="S152" s="481"/>
      <c r="T152" s="481"/>
      <c r="U152" s="481"/>
      <c r="V152" s="192"/>
      <c r="W152" s="479"/>
      <c r="X152" s="479"/>
      <c r="Y152" s="479"/>
      <c r="Z152" s="479"/>
      <c r="AA152" s="871"/>
      <c r="AB152" s="872"/>
      <c r="AC152" s="479"/>
      <c r="AD152" s="479"/>
      <c r="AE152" s="479"/>
      <c r="AF152" s="479"/>
      <c r="AG152" s="479"/>
      <c r="AH152" s="479"/>
      <c r="AI152" s="479"/>
    </row>
    <row r="153" spans="3:45" x14ac:dyDescent="0.25">
      <c r="C153" s="481"/>
      <c r="D153" s="481"/>
      <c r="E153" s="481"/>
      <c r="F153" s="481"/>
      <c r="G153" s="481"/>
      <c r="H153" s="481"/>
      <c r="I153" s="481"/>
      <c r="J153" s="481"/>
      <c r="K153" s="481"/>
      <c r="L153" s="481"/>
      <c r="M153" s="481"/>
      <c r="N153" s="481"/>
      <c r="O153" s="481"/>
      <c r="P153" s="481"/>
      <c r="Q153" s="481"/>
      <c r="R153" s="481"/>
      <c r="S153" s="481"/>
      <c r="T153" s="481"/>
      <c r="U153" s="481"/>
      <c r="V153" s="192"/>
      <c r="AA153" s="312"/>
      <c r="AB153" s="312"/>
    </row>
    <row r="154" spans="3:45" x14ac:dyDescent="0.25">
      <c r="C154" s="481"/>
      <c r="D154" s="481"/>
      <c r="E154" s="481"/>
      <c r="F154" s="481"/>
      <c r="G154" s="481"/>
      <c r="H154" s="481"/>
      <c r="I154" s="481"/>
      <c r="J154" s="481"/>
      <c r="K154" s="481"/>
      <c r="L154" s="481"/>
      <c r="M154" s="481"/>
      <c r="N154" s="481"/>
      <c r="O154" s="481"/>
      <c r="P154" s="481"/>
      <c r="Q154" s="481"/>
      <c r="R154" s="481"/>
      <c r="S154" s="481"/>
      <c r="T154" s="481"/>
      <c r="U154" s="481"/>
      <c r="V154" s="192"/>
      <c r="AA154" s="664"/>
      <c r="AB154" s="665"/>
    </row>
    <row r="155" spans="3:45" x14ac:dyDescent="0.25">
      <c r="C155" s="481"/>
      <c r="D155" s="481"/>
      <c r="E155" s="481"/>
      <c r="F155" s="481"/>
      <c r="G155" s="481"/>
      <c r="H155" s="481"/>
      <c r="I155" s="481"/>
      <c r="J155" s="481"/>
      <c r="K155" s="481"/>
      <c r="L155" s="481"/>
      <c r="M155" s="481"/>
      <c r="N155" s="481"/>
      <c r="O155" s="481"/>
      <c r="P155" s="481"/>
      <c r="Q155" s="481"/>
      <c r="R155" s="481"/>
      <c r="S155" s="481"/>
      <c r="T155" s="481"/>
      <c r="U155" s="481"/>
      <c r="V155" s="192"/>
      <c r="AA155" s="664"/>
      <c r="AB155" s="665"/>
    </row>
    <row r="156" spans="3:45" x14ac:dyDescent="0.25">
      <c r="C156" s="481"/>
      <c r="D156" s="481"/>
      <c r="E156" s="481"/>
      <c r="F156" s="481"/>
      <c r="G156" s="481"/>
      <c r="H156" s="481"/>
      <c r="I156" s="481"/>
      <c r="J156" s="481"/>
      <c r="K156" s="481"/>
      <c r="L156" s="481"/>
      <c r="M156" s="481"/>
      <c r="N156" s="481"/>
      <c r="O156" s="481"/>
      <c r="P156" s="481"/>
      <c r="Q156" s="481"/>
      <c r="R156" s="481"/>
      <c r="S156" s="481"/>
      <c r="T156" s="481"/>
      <c r="U156" s="481"/>
      <c r="V156" s="192"/>
      <c r="AA156" s="664"/>
      <c r="AB156" s="665"/>
    </row>
    <row r="157" spans="3:45" x14ac:dyDescent="0.25">
      <c r="C157" s="481"/>
      <c r="D157" s="481"/>
      <c r="E157" s="481"/>
      <c r="F157" s="481"/>
      <c r="G157" s="481"/>
      <c r="H157" s="481"/>
      <c r="I157" s="481"/>
      <c r="J157" s="481"/>
      <c r="K157" s="481"/>
      <c r="L157" s="481"/>
      <c r="M157" s="481"/>
      <c r="N157" s="481"/>
      <c r="O157" s="481"/>
      <c r="P157" s="481"/>
      <c r="Q157" s="481"/>
      <c r="R157" s="481"/>
      <c r="S157" s="481"/>
      <c r="T157" s="481"/>
      <c r="U157" s="481"/>
      <c r="V157" s="192"/>
      <c r="AA157" s="312"/>
      <c r="AB157" s="312"/>
    </row>
    <row r="158" spans="3:45" x14ac:dyDescent="0.25">
      <c r="AA158" s="312"/>
      <c r="AB158" s="312"/>
    </row>
    <row r="159" spans="3:45" x14ac:dyDescent="0.25">
      <c r="AA159" s="664"/>
      <c r="AB159" s="665"/>
    </row>
    <row r="160" spans="3:45" x14ac:dyDescent="0.25">
      <c r="L160" s="481"/>
      <c r="M160" s="481"/>
      <c r="R160" s="481"/>
      <c r="S160" s="481"/>
      <c r="T160" s="481"/>
      <c r="U160" s="481"/>
      <c r="AA160" s="664"/>
      <c r="AB160" s="665"/>
    </row>
    <row r="161" spans="3:28" x14ac:dyDescent="0.25">
      <c r="I161" s="480"/>
      <c r="L161" s="481"/>
      <c r="M161" s="481"/>
      <c r="AA161" s="664"/>
      <c r="AB161" s="665"/>
    </row>
    <row r="162" spans="3:28" x14ac:dyDescent="0.25">
      <c r="L162" s="481"/>
      <c r="M162" s="481"/>
      <c r="AA162" s="664"/>
      <c r="AB162" s="665"/>
    </row>
    <row r="163" spans="3:28" x14ac:dyDescent="0.25">
      <c r="L163" s="481"/>
      <c r="M163" s="481"/>
      <c r="AA163" s="664"/>
      <c r="AB163" s="665"/>
    </row>
    <row r="164" spans="3:28" x14ac:dyDescent="0.25">
      <c r="L164" s="481"/>
      <c r="M164" s="481"/>
      <c r="N164" s="192"/>
      <c r="O164" s="192"/>
      <c r="P164" s="579"/>
      <c r="Q164" s="192"/>
      <c r="AA164" s="664"/>
      <c r="AB164" s="665"/>
    </row>
    <row r="165" spans="3:28" x14ac:dyDescent="0.25">
      <c r="L165" s="481"/>
      <c r="M165" s="481"/>
      <c r="AA165" s="664"/>
      <c r="AB165" s="665"/>
    </row>
    <row r="166" spans="3:28" x14ac:dyDescent="0.25">
      <c r="L166" s="481"/>
      <c r="M166" s="481"/>
      <c r="R166" s="482"/>
      <c r="S166" s="482"/>
      <c r="T166" s="482"/>
      <c r="U166" s="482"/>
      <c r="AA166" s="664"/>
      <c r="AB166" s="665"/>
    </row>
    <row r="167" spans="3:28" x14ac:dyDescent="0.25">
      <c r="L167" s="481"/>
      <c r="M167" s="481"/>
      <c r="R167" s="480"/>
      <c r="S167" s="480"/>
      <c r="T167" s="480"/>
      <c r="U167" s="480"/>
      <c r="AA167" s="664"/>
      <c r="AB167" s="665"/>
    </row>
    <row r="168" spans="3:28" x14ac:dyDescent="0.25">
      <c r="L168" s="481"/>
      <c r="M168" s="481"/>
      <c r="R168" s="192"/>
      <c r="S168" s="192"/>
      <c r="T168" s="192"/>
      <c r="U168" s="192"/>
      <c r="AA168" s="312"/>
      <c r="AB168" s="312"/>
    </row>
    <row r="169" spans="3:28" x14ac:dyDescent="0.2">
      <c r="L169" s="481"/>
      <c r="M169" s="481"/>
    </row>
    <row r="170" spans="3:28" x14ac:dyDescent="0.2">
      <c r="L170" s="481"/>
      <c r="M170" s="481"/>
    </row>
    <row r="171" spans="3:28" x14ac:dyDescent="0.2">
      <c r="L171" s="481"/>
      <c r="M171" s="481"/>
    </row>
    <row r="173" spans="3:28" x14ac:dyDescent="0.25">
      <c r="G173" s="312"/>
    </row>
    <row r="175" spans="3:28" x14ac:dyDescent="0.2">
      <c r="C175" s="483"/>
      <c r="D175" s="483"/>
      <c r="E175" s="483"/>
      <c r="F175" s="483"/>
      <c r="G175" s="483"/>
      <c r="H175" s="483"/>
      <c r="I175" s="483"/>
      <c r="J175" s="483"/>
      <c r="K175" s="483"/>
    </row>
  </sheetData>
  <mergeCells count="25">
    <mergeCell ref="AA156:AB156"/>
    <mergeCell ref="B1:R1"/>
    <mergeCell ref="B131:R131"/>
    <mergeCell ref="B132:R132"/>
    <mergeCell ref="B135:R135"/>
    <mergeCell ref="B136:R136"/>
    <mergeCell ref="B137:R137"/>
    <mergeCell ref="B138:R138"/>
    <mergeCell ref="B139:R139"/>
    <mergeCell ref="AA152:AB152"/>
    <mergeCell ref="AA154:AB154"/>
    <mergeCell ref="AA155:AB155"/>
    <mergeCell ref="B140:R140"/>
    <mergeCell ref="B141:R141"/>
    <mergeCell ref="B133:R133"/>
    <mergeCell ref="B134:R134"/>
    <mergeCell ref="AA165:AB165"/>
    <mergeCell ref="AA166:AB166"/>
    <mergeCell ref="AA167:AB167"/>
    <mergeCell ref="AA159:AB159"/>
    <mergeCell ref="AA160:AB160"/>
    <mergeCell ref="AA161:AB161"/>
    <mergeCell ref="AA162:AB162"/>
    <mergeCell ref="AA163:AB163"/>
    <mergeCell ref="AA164:AB164"/>
  </mergeCells>
  <conditionalFormatting sqref="AN3:AN67">
    <cfRule type="containsText" dxfId="3" priority="1" operator="containsText" text="TRUE">
      <formula>NOT(ISERROR(SEARCH("TRUE",AN3)))</formula>
    </cfRule>
    <cfRule type="containsText" dxfId="2" priority="2" operator="containsText" text="FALSE">
      <formula>NOT(ISERROR(SEARCH("FALSE",AN3)))</formula>
    </cfRule>
  </conditionalFormatting>
  <printOptions horizontalCentered="1" gridLines="1"/>
  <pageMargins left="0.28999999999999998" right="0.28999999999999998" top="0.7" bottom="0.43" header="0.3" footer="0.27"/>
  <pageSetup scale="53" firstPageNumber="3"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X140"/>
  <sheetViews>
    <sheetView view="pageBreakPreview" zoomScale="80" zoomScaleNormal="100" zoomScaleSheetLayoutView="80" workbookViewId="0">
      <selection activeCell="I68" sqref="I68"/>
    </sheetView>
  </sheetViews>
  <sheetFormatPr defaultColWidth="13" defaultRowHeight="12.75" x14ac:dyDescent="0.2"/>
  <cols>
    <col min="1" max="1" width="46.7109375" customWidth="1"/>
    <col min="2" max="2" width="14.140625" customWidth="1"/>
    <col min="3" max="3" width="10.7109375" customWidth="1"/>
    <col min="4" max="4" width="12.42578125" customWidth="1"/>
    <col min="5" max="5" width="12.7109375" customWidth="1"/>
    <col min="6" max="7" width="15.140625" customWidth="1"/>
    <col min="8" max="8" width="10.5703125" customWidth="1"/>
    <col min="9" max="9" width="17.28515625" customWidth="1"/>
    <col min="10" max="10" width="11.7109375" customWidth="1"/>
    <col min="11" max="11" width="16" customWidth="1"/>
    <col min="12" max="12" width="10.7109375" customWidth="1"/>
    <col min="13" max="14" width="10.5703125" customWidth="1"/>
    <col min="15" max="15" width="11.7109375" customWidth="1"/>
    <col min="16" max="16" width="10.28515625" customWidth="1"/>
    <col min="17" max="17" width="12.85546875" bestFit="1" customWidth="1"/>
    <col min="18" max="18" width="12.28515625" customWidth="1"/>
  </cols>
  <sheetData>
    <row r="1" spans="1:20" ht="19.5" thickBot="1" x14ac:dyDescent="0.25">
      <c r="A1" s="683" t="s">
        <v>265</v>
      </c>
      <c r="B1" s="684"/>
      <c r="C1" s="684"/>
      <c r="D1" s="684"/>
      <c r="E1" s="684"/>
      <c r="F1" s="684"/>
      <c r="G1" s="684"/>
      <c r="H1" s="684"/>
      <c r="I1" s="684"/>
      <c r="J1" s="684"/>
      <c r="K1" s="684"/>
      <c r="L1" s="684"/>
      <c r="M1" s="684"/>
      <c r="N1" s="684"/>
      <c r="O1" s="684"/>
      <c r="P1" s="684"/>
      <c r="Q1" s="685"/>
      <c r="R1" s="59"/>
    </row>
    <row r="2" spans="1:20" ht="79.5" thickBot="1" x14ac:dyDescent="0.25">
      <c r="A2" s="273"/>
      <c r="B2" s="274" t="s">
        <v>131</v>
      </c>
      <c r="C2" s="274" t="s">
        <v>132</v>
      </c>
      <c r="D2" s="274" t="s">
        <v>133</v>
      </c>
      <c r="E2" s="274" t="s">
        <v>104</v>
      </c>
      <c r="F2" s="274" t="s">
        <v>134</v>
      </c>
      <c r="G2" s="274" t="s">
        <v>135</v>
      </c>
      <c r="H2" s="274" t="s">
        <v>136</v>
      </c>
      <c r="I2" s="274" t="s">
        <v>19</v>
      </c>
      <c r="J2" s="274" t="s">
        <v>141</v>
      </c>
      <c r="K2" s="274" t="s">
        <v>137</v>
      </c>
      <c r="L2" s="274" t="s">
        <v>20</v>
      </c>
      <c r="M2" s="274" t="s">
        <v>138</v>
      </c>
      <c r="N2" s="274" t="s">
        <v>139</v>
      </c>
      <c r="O2" s="274" t="s">
        <v>140</v>
      </c>
      <c r="P2" s="274" t="s">
        <v>32</v>
      </c>
      <c r="Q2" s="275" t="s">
        <v>0</v>
      </c>
      <c r="R2" s="328"/>
    </row>
    <row r="3" spans="1:20" ht="19.5" thickBot="1" x14ac:dyDescent="0.25">
      <c r="A3" s="388" t="s">
        <v>266</v>
      </c>
      <c r="B3" s="389"/>
      <c r="C3" s="389"/>
      <c r="D3" s="389"/>
      <c r="E3" s="389"/>
      <c r="F3" s="389"/>
      <c r="G3" s="389"/>
      <c r="H3" s="389"/>
      <c r="I3" s="389"/>
      <c r="J3" s="389"/>
      <c r="K3" s="389"/>
      <c r="L3" s="389"/>
      <c r="M3" s="389"/>
      <c r="N3" s="389"/>
      <c r="O3" s="389"/>
      <c r="P3" s="389"/>
      <c r="Q3" s="390"/>
      <c r="R3" s="328"/>
    </row>
    <row r="4" spans="1:20" ht="15.75" x14ac:dyDescent="0.2">
      <c r="A4" s="232">
        <v>42917</v>
      </c>
      <c r="B4" s="221">
        <f>'Medicaid Caseload'!C107-'Caseload by Program'!B18</f>
        <v>38343</v>
      </c>
      <c r="C4" s="221">
        <f>'Medicaid Caseload'!D107-'Caseload by Program'!C18</f>
        <v>9664</v>
      </c>
      <c r="D4" s="221">
        <f>'Medicaid Caseload'!E107-'Caseload by Program'!D18</f>
        <v>59971</v>
      </c>
      <c r="E4" s="221">
        <f>'Medicaid Caseload'!F107-'Caseload by Program'!E18</f>
        <v>6687</v>
      </c>
      <c r="F4" s="221">
        <f>'Medicaid Caseload'!G107-'Caseload by Program'!F18</f>
        <v>160814</v>
      </c>
      <c r="G4" s="221">
        <f>'Medicaid Caseload'!H107-'Caseload by Program'!G18</f>
        <v>73128</v>
      </c>
      <c r="H4" s="221">
        <f>'Medicaid Caseload'!I107-'Caseload by Program'!H18</f>
        <v>328717</v>
      </c>
      <c r="I4" s="221">
        <f>'Medicaid Caseload'!J107-'Caseload by Program'!I18</f>
        <v>141</v>
      </c>
      <c r="J4" s="221">
        <f>'Medicaid Caseload'!K107-'Caseload by Program'!J18</f>
        <v>422019</v>
      </c>
      <c r="K4" s="221">
        <f>'Medicaid Caseload'!L107-'Caseload by Program'!K18</f>
        <v>60713</v>
      </c>
      <c r="L4" s="221">
        <f>'Medicaid Caseload'!M107-'Caseload by Program'!L18</f>
        <v>20424</v>
      </c>
      <c r="M4" s="221">
        <f>'Medicaid Caseload'!N107-'Caseload by Program'!M18</f>
        <v>10400</v>
      </c>
      <c r="N4" s="221">
        <f>'Medicaid Caseload'!O107-'Caseload by Program'!N18</f>
        <v>1956</v>
      </c>
      <c r="O4" s="221">
        <f>'Medicaid Caseload'!P107-'Caseload by Program'!O18</f>
        <v>2925</v>
      </c>
      <c r="P4" s="221">
        <f>'Medicaid Caseload'!Q107-'Caseload by Program'!P18</f>
        <v>34833</v>
      </c>
      <c r="Q4" s="233">
        <f>'Medicaid Caseload'!R107-'Caseload by Program'!Q18</f>
        <v>1230735</v>
      </c>
      <c r="R4" s="61"/>
    </row>
    <row r="5" spans="1:20" ht="15.75" x14ac:dyDescent="0.2">
      <c r="A5" s="226">
        <v>42948</v>
      </c>
      <c r="B5" s="3">
        <f>'Medicaid Caseload'!C108-'Caseload by Program'!B19</f>
        <v>38664</v>
      </c>
      <c r="C5" s="3">
        <f>'Medicaid Caseload'!D108-'Caseload by Program'!C19</f>
        <v>9715</v>
      </c>
      <c r="D5" s="3">
        <f>'Medicaid Caseload'!E108-'Caseload by Program'!D19</f>
        <v>60058</v>
      </c>
      <c r="E5" s="3">
        <f>'Medicaid Caseload'!F108-'Caseload by Program'!E19</f>
        <v>6762</v>
      </c>
      <c r="F5" s="3">
        <f>'Medicaid Caseload'!G108-'Caseload by Program'!F19</f>
        <v>161357</v>
      </c>
      <c r="G5" s="3">
        <f>'Medicaid Caseload'!H108-'Caseload by Program'!G19</f>
        <v>73476</v>
      </c>
      <c r="H5" s="3">
        <f>'Medicaid Caseload'!I108-'Caseload by Program'!H19</f>
        <v>331468</v>
      </c>
      <c r="I5" s="3">
        <f>'Medicaid Caseload'!J108-'Caseload by Program'!I19</f>
        <v>137</v>
      </c>
      <c r="J5" s="3">
        <f>'Medicaid Caseload'!K108-'Caseload by Program'!J19</f>
        <v>421764</v>
      </c>
      <c r="K5" s="3">
        <f>'Medicaid Caseload'!L108-'Caseload by Program'!K19</f>
        <v>61466</v>
      </c>
      <c r="L5" s="3">
        <f>'Medicaid Caseload'!M108-'Caseload by Program'!L19</f>
        <v>20579</v>
      </c>
      <c r="M5" s="3">
        <f>'Medicaid Caseload'!N108-'Caseload by Program'!M19</f>
        <v>9937</v>
      </c>
      <c r="N5" s="3">
        <f>'Medicaid Caseload'!O108-'Caseload by Program'!N19</f>
        <v>1919</v>
      </c>
      <c r="O5" s="3">
        <f>'Medicaid Caseload'!P108-'Caseload by Program'!O19</f>
        <v>2957</v>
      </c>
      <c r="P5" s="3">
        <f>'Medicaid Caseload'!Q108-'Caseload by Program'!P19</f>
        <v>35078</v>
      </c>
      <c r="Q5" s="227">
        <f>'Medicaid Caseload'!R108-'Caseload by Program'!Q19</f>
        <v>1235337</v>
      </c>
      <c r="R5" s="61"/>
    </row>
    <row r="6" spans="1:20" ht="15.75" x14ac:dyDescent="0.2">
      <c r="A6" s="226">
        <v>42979</v>
      </c>
      <c r="B6" s="3">
        <f>'Medicaid Caseload'!C109-'Caseload by Program'!B20</f>
        <v>38896</v>
      </c>
      <c r="C6" s="3">
        <f>'Medicaid Caseload'!D109-'Caseload by Program'!C20</f>
        <v>9738</v>
      </c>
      <c r="D6" s="3">
        <f>'Medicaid Caseload'!E109-'Caseload by Program'!D20</f>
        <v>59964</v>
      </c>
      <c r="E6" s="3">
        <f>'Medicaid Caseload'!F109-'Caseload by Program'!E20</f>
        <v>6855</v>
      </c>
      <c r="F6" s="3">
        <f>'Medicaid Caseload'!G109-'Caseload by Program'!F20</f>
        <v>160827</v>
      </c>
      <c r="G6" s="3">
        <f>'Medicaid Caseload'!H109-'Caseload by Program'!G20</f>
        <v>72743</v>
      </c>
      <c r="H6" s="3">
        <f>'Medicaid Caseload'!I109-'Caseload by Program'!H20</f>
        <v>332209</v>
      </c>
      <c r="I6" s="3">
        <f>'Medicaid Caseload'!J109-'Caseload by Program'!I20</f>
        <v>125</v>
      </c>
      <c r="J6" s="3">
        <f>'Medicaid Caseload'!K109-'Caseload by Program'!J20</f>
        <v>417281</v>
      </c>
      <c r="K6" s="3">
        <f>'Medicaid Caseload'!L109-'Caseload by Program'!K20</f>
        <v>62031</v>
      </c>
      <c r="L6" s="3">
        <f>'Medicaid Caseload'!M109-'Caseload by Program'!L20</f>
        <v>20717</v>
      </c>
      <c r="M6" s="3">
        <f>'Medicaid Caseload'!N109-'Caseload by Program'!M20</f>
        <v>9224</v>
      </c>
      <c r="N6" s="3">
        <f>'Medicaid Caseload'!O109-'Caseload by Program'!N20</f>
        <v>1917</v>
      </c>
      <c r="O6" s="3">
        <f>'Medicaid Caseload'!P109-'Caseload by Program'!O20</f>
        <v>2831</v>
      </c>
      <c r="P6" s="3">
        <f>'Medicaid Caseload'!Q109-'Caseload by Program'!P20</f>
        <v>35157</v>
      </c>
      <c r="Q6" s="227">
        <f>'Medicaid Caseload'!R109-'Caseload by Program'!Q20</f>
        <v>1230515</v>
      </c>
      <c r="R6" s="61"/>
    </row>
    <row r="7" spans="1:20" ht="15.75" x14ac:dyDescent="0.2">
      <c r="A7" s="226">
        <v>43009</v>
      </c>
      <c r="B7" s="3">
        <f>'Medicaid Caseload'!C110-'Caseload by Program'!B21</f>
        <v>38444</v>
      </c>
      <c r="C7" s="3">
        <f>'Medicaid Caseload'!D110-'Caseload by Program'!C21</f>
        <v>9702</v>
      </c>
      <c r="D7" s="3">
        <f>'Medicaid Caseload'!E110-'Caseload by Program'!D21</f>
        <v>59650</v>
      </c>
      <c r="E7" s="3">
        <f>'Medicaid Caseload'!F110-'Caseload by Program'!E21</f>
        <v>7137</v>
      </c>
      <c r="F7" s="3">
        <f>'Medicaid Caseload'!G110-'Caseload by Program'!F21</f>
        <v>159024</v>
      </c>
      <c r="G7" s="3">
        <f>'Medicaid Caseload'!H110-'Caseload by Program'!G21</f>
        <v>65760</v>
      </c>
      <c r="H7" s="3">
        <f>'Medicaid Caseload'!I110-'Caseload by Program'!H21</f>
        <v>309936</v>
      </c>
      <c r="I7" s="3">
        <f>'Medicaid Caseload'!J110-'Caseload by Program'!I21</f>
        <v>131</v>
      </c>
      <c r="J7" s="3">
        <f>'Medicaid Caseload'!K110-'Caseload by Program'!J21</f>
        <v>410504</v>
      </c>
      <c r="K7" s="3">
        <f>'Medicaid Caseload'!L110-'Caseload by Program'!K21</f>
        <v>62415</v>
      </c>
      <c r="L7" s="3">
        <f>'Medicaid Caseload'!M110-'Caseload by Program'!L21</f>
        <v>20858</v>
      </c>
      <c r="M7" s="3">
        <f>'Medicaid Caseload'!N110-'Caseload by Program'!M21</f>
        <v>8881</v>
      </c>
      <c r="N7" s="3">
        <f>'Medicaid Caseload'!O110-'Caseload by Program'!N21</f>
        <v>1979</v>
      </c>
      <c r="O7" s="3">
        <f>'Medicaid Caseload'!P110-'Caseload by Program'!O21</f>
        <v>2842</v>
      </c>
      <c r="P7" s="3">
        <f>'Medicaid Caseload'!Q110-'Caseload by Program'!P21</f>
        <v>34883</v>
      </c>
      <c r="Q7" s="227">
        <f>'Medicaid Caseload'!R110-'Caseload by Program'!Q21</f>
        <v>1192146</v>
      </c>
      <c r="R7" s="61"/>
    </row>
    <row r="8" spans="1:20" ht="15.75" x14ac:dyDescent="0.2">
      <c r="A8" s="226">
        <v>43040</v>
      </c>
      <c r="B8" s="3">
        <f>'Medicaid Caseload'!C111-'Caseload by Program'!B22</f>
        <v>38599</v>
      </c>
      <c r="C8" s="3">
        <f>'Medicaid Caseload'!D111-'Caseload by Program'!C22</f>
        <v>9772</v>
      </c>
      <c r="D8" s="3">
        <f>'Medicaid Caseload'!E111-'Caseload by Program'!D22</f>
        <v>59798</v>
      </c>
      <c r="E8" s="3">
        <f>'Medicaid Caseload'!F111-'Caseload by Program'!E22</f>
        <v>7335</v>
      </c>
      <c r="F8" s="3">
        <f>'Medicaid Caseload'!G111-'Caseload by Program'!F22</f>
        <v>159542</v>
      </c>
      <c r="G8" s="3">
        <f>'Medicaid Caseload'!H111-'Caseload by Program'!G22</f>
        <v>63672</v>
      </c>
      <c r="H8" s="3">
        <f>'Medicaid Caseload'!I111-'Caseload by Program'!H22</f>
        <v>310166</v>
      </c>
      <c r="I8" s="3">
        <f>'Medicaid Caseload'!J111-'Caseload by Program'!I22</f>
        <v>141</v>
      </c>
      <c r="J8" s="3">
        <f>'Medicaid Caseload'!K111-'Caseload by Program'!J22</f>
        <v>407881</v>
      </c>
      <c r="K8" s="3">
        <f>'Medicaid Caseload'!L111-'Caseload by Program'!K22</f>
        <v>62281</v>
      </c>
      <c r="L8" s="3">
        <f>'Medicaid Caseload'!M111-'Caseload by Program'!L22</f>
        <v>21090</v>
      </c>
      <c r="M8" s="3">
        <f>'Medicaid Caseload'!N111-'Caseload by Program'!M22</f>
        <v>8603</v>
      </c>
      <c r="N8" s="3">
        <f>'Medicaid Caseload'!O111-'Caseload by Program'!N22</f>
        <v>2033</v>
      </c>
      <c r="O8" s="3">
        <f>'Medicaid Caseload'!P111-'Caseload by Program'!O22</f>
        <v>2716</v>
      </c>
      <c r="P8" s="3">
        <f>'Medicaid Caseload'!Q111-'Caseload by Program'!P22</f>
        <v>34999</v>
      </c>
      <c r="Q8" s="227">
        <f>'Medicaid Caseload'!R111-'Caseload by Program'!Q22</f>
        <v>1188628</v>
      </c>
      <c r="R8" s="61"/>
    </row>
    <row r="9" spans="1:20" ht="15.75" x14ac:dyDescent="0.2">
      <c r="A9" s="226">
        <v>43070</v>
      </c>
      <c r="B9" s="3">
        <f>'Medicaid Caseload'!C112-'Caseload by Program'!B23</f>
        <v>38728</v>
      </c>
      <c r="C9" s="3">
        <f>'Medicaid Caseload'!D112-'Caseload by Program'!C23</f>
        <v>9838</v>
      </c>
      <c r="D9" s="3">
        <f>'Medicaid Caseload'!E112-'Caseload by Program'!D23</f>
        <v>59706</v>
      </c>
      <c r="E9" s="3">
        <f>'Medicaid Caseload'!F112-'Caseload by Program'!E23</f>
        <v>7505</v>
      </c>
      <c r="F9" s="3">
        <f>'Medicaid Caseload'!G112-'Caseload by Program'!F23</f>
        <v>159530</v>
      </c>
      <c r="G9" s="3">
        <f>'Medicaid Caseload'!H112-'Caseload by Program'!G23</f>
        <v>64978</v>
      </c>
      <c r="H9" s="3">
        <f>'Medicaid Caseload'!I112-'Caseload by Program'!H23</f>
        <v>315012</v>
      </c>
      <c r="I9" s="3">
        <f>'Medicaid Caseload'!J112-'Caseload by Program'!I23</f>
        <v>143</v>
      </c>
      <c r="J9" s="3">
        <f>'Medicaid Caseload'!K112-'Caseload by Program'!J23</f>
        <v>405642</v>
      </c>
      <c r="K9" s="3">
        <f>'Medicaid Caseload'!L112-'Caseload by Program'!K23</f>
        <v>61893</v>
      </c>
      <c r="L9" s="3">
        <f>'Medicaid Caseload'!M112-'Caseload by Program'!L23</f>
        <v>21273</v>
      </c>
      <c r="M9" s="3">
        <f>'Medicaid Caseload'!N112-'Caseload by Program'!M23</f>
        <v>8128</v>
      </c>
      <c r="N9" s="3">
        <f>'Medicaid Caseload'!O112-'Caseload by Program'!N23</f>
        <v>1952</v>
      </c>
      <c r="O9" s="3">
        <f>'Medicaid Caseload'!P112-'Caseload by Program'!O23</f>
        <v>2677</v>
      </c>
      <c r="P9" s="3">
        <f>'Medicaid Caseload'!Q112-'Caseload by Program'!P23</f>
        <v>35001</v>
      </c>
      <c r="Q9" s="227">
        <f>'Medicaid Caseload'!R112-'Caseload by Program'!Q23</f>
        <v>1192006</v>
      </c>
      <c r="R9" s="61"/>
    </row>
    <row r="10" spans="1:20" ht="15.75" x14ac:dyDescent="0.2">
      <c r="A10" s="226">
        <v>43101</v>
      </c>
      <c r="B10" s="3"/>
      <c r="C10" s="3"/>
      <c r="D10" s="3"/>
      <c r="E10" s="3"/>
      <c r="F10" s="3"/>
      <c r="G10" s="3"/>
      <c r="H10" s="3"/>
      <c r="I10" s="3"/>
      <c r="J10" s="3"/>
      <c r="K10" s="3"/>
      <c r="L10" s="3"/>
      <c r="M10" s="3"/>
      <c r="N10" s="3"/>
      <c r="O10" s="3"/>
      <c r="P10" s="3"/>
      <c r="Q10" s="227"/>
      <c r="R10" s="61"/>
    </row>
    <row r="11" spans="1:20" ht="15.75" x14ac:dyDescent="0.2">
      <c r="A11" s="226">
        <v>43132</v>
      </c>
      <c r="B11" s="3"/>
      <c r="C11" s="3"/>
      <c r="D11" s="3"/>
      <c r="E11" s="3"/>
      <c r="F11" s="3"/>
      <c r="G11" s="3"/>
      <c r="H11" s="3"/>
      <c r="I11" s="3"/>
      <c r="J11" s="3"/>
      <c r="K11" s="3"/>
      <c r="L11" s="3"/>
      <c r="M11" s="3"/>
      <c r="N11" s="3"/>
      <c r="O11" s="3"/>
      <c r="P11" s="3"/>
      <c r="Q11" s="227"/>
      <c r="R11" s="61"/>
    </row>
    <row r="12" spans="1:20" ht="15.75" x14ac:dyDescent="0.2">
      <c r="A12" s="226">
        <v>43160</v>
      </c>
      <c r="B12" s="3"/>
      <c r="C12" s="3"/>
      <c r="D12" s="3"/>
      <c r="E12" s="3"/>
      <c r="F12" s="3"/>
      <c r="G12" s="3"/>
      <c r="H12" s="3"/>
      <c r="I12" s="3"/>
      <c r="J12" s="3"/>
      <c r="K12" s="3"/>
      <c r="L12" s="3"/>
      <c r="M12" s="3"/>
      <c r="N12" s="3"/>
      <c r="O12" s="3"/>
      <c r="P12" s="3"/>
      <c r="Q12" s="227"/>
      <c r="R12" s="61"/>
    </row>
    <row r="13" spans="1:20" ht="15.75" x14ac:dyDescent="0.2">
      <c r="A13" s="226">
        <v>43191</v>
      </c>
      <c r="B13" s="3"/>
      <c r="C13" s="3"/>
      <c r="D13" s="3"/>
      <c r="E13" s="3"/>
      <c r="F13" s="3"/>
      <c r="G13" s="3"/>
      <c r="H13" s="3"/>
      <c r="I13" s="3"/>
      <c r="J13" s="3"/>
      <c r="K13" s="3"/>
      <c r="L13" s="3"/>
      <c r="M13" s="3"/>
      <c r="N13" s="3"/>
      <c r="O13" s="3"/>
      <c r="P13" s="3"/>
      <c r="Q13" s="227"/>
      <c r="R13" s="61"/>
    </row>
    <row r="14" spans="1:20" ht="15.75" x14ac:dyDescent="0.2">
      <c r="A14" s="226">
        <v>43221</v>
      </c>
      <c r="B14" s="3"/>
      <c r="C14" s="3"/>
      <c r="D14" s="3"/>
      <c r="E14" s="3"/>
      <c r="F14" s="3"/>
      <c r="G14" s="3"/>
      <c r="H14" s="3"/>
      <c r="I14" s="3"/>
      <c r="J14" s="3"/>
      <c r="K14" s="3"/>
      <c r="L14" s="3"/>
      <c r="M14" s="3"/>
      <c r="N14" s="3"/>
      <c r="O14" s="3"/>
      <c r="P14" s="3"/>
      <c r="Q14" s="227"/>
      <c r="R14" s="61"/>
    </row>
    <row r="15" spans="1:20" ht="16.5" thickBot="1" x14ac:dyDescent="0.25">
      <c r="A15" s="276">
        <v>43252</v>
      </c>
      <c r="B15" s="277"/>
      <c r="C15" s="277"/>
      <c r="D15" s="277"/>
      <c r="E15" s="277"/>
      <c r="F15" s="277"/>
      <c r="G15" s="277"/>
      <c r="H15" s="277"/>
      <c r="I15" s="277"/>
      <c r="J15" s="277"/>
      <c r="K15" s="277"/>
      <c r="L15" s="277"/>
      <c r="M15" s="277"/>
      <c r="N15" s="277"/>
      <c r="O15" s="277"/>
      <c r="P15" s="277"/>
      <c r="Q15" s="278"/>
      <c r="R15" s="61"/>
      <c r="T15" s="281"/>
    </row>
    <row r="16" spans="1:20" ht="17.25" thickTop="1" thickBot="1" x14ac:dyDescent="0.3">
      <c r="A16" s="234" t="s">
        <v>325</v>
      </c>
      <c r="B16" s="5">
        <f>ROUND(+AVERAGE(B4:B15),0)</f>
        <v>38612</v>
      </c>
      <c r="C16" s="5">
        <f>ROUND(+AVERAGE(C4:C15),0)</f>
        <v>9738</v>
      </c>
      <c r="D16" s="5">
        <f>ROUND(+AVERAGE(D4:D15),0)</f>
        <v>59858</v>
      </c>
      <c r="E16" s="5">
        <f t="shared" ref="E16:O16" si="0">ROUND(+AVERAGE(E4:E15),0)</f>
        <v>7047</v>
      </c>
      <c r="F16" s="5">
        <f>ROUND(+AVERAGE(F4:F15),0)</f>
        <v>160182</v>
      </c>
      <c r="G16" s="5">
        <f>ROUND(+AVERAGE(G4:G15),0)</f>
        <v>68960</v>
      </c>
      <c r="H16" s="5">
        <f>ROUND(+AVERAGE(H4:H15),0)</f>
        <v>321251</v>
      </c>
      <c r="I16" s="5">
        <f t="shared" si="0"/>
        <v>136</v>
      </c>
      <c r="J16" s="5">
        <f>ROUND(+AVERAGE(J4:J15),0)</f>
        <v>414182</v>
      </c>
      <c r="K16" s="5">
        <f>ROUND(+AVERAGE(K4:K15),0)</f>
        <v>61800</v>
      </c>
      <c r="L16" s="5">
        <f t="shared" si="0"/>
        <v>20824</v>
      </c>
      <c r="M16" s="5">
        <f>ROUND(+AVERAGE(M4:M15),0)</f>
        <v>9196</v>
      </c>
      <c r="N16" s="5">
        <f t="shared" si="0"/>
        <v>1959</v>
      </c>
      <c r="O16" s="5">
        <f t="shared" si="0"/>
        <v>2825</v>
      </c>
      <c r="P16" s="5">
        <f>ROUNDDOWN(+AVERAGE(P4:P15),0)</f>
        <v>34991</v>
      </c>
      <c r="Q16" s="235">
        <f>ROUND(SUM(B16:P16),0)</f>
        <v>1211561</v>
      </c>
      <c r="R16" s="61"/>
      <c r="S16" s="5"/>
      <c r="T16" s="327"/>
    </row>
    <row r="17" spans="1:21" ht="19.5" thickBot="1" x14ac:dyDescent="0.25">
      <c r="A17" s="388" t="s">
        <v>267</v>
      </c>
      <c r="B17" s="389"/>
      <c r="C17" s="389"/>
      <c r="D17" s="389"/>
      <c r="E17" s="389"/>
      <c r="F17" s="389"/>
      <c r="G17" s="389"/>
      <c r="H17" s="389"/>
      <c r="I17" s="389"/>
      <c r="J17" s="389"/>
      <c r="K17" s="389"/>
      <c r="L17" s="389"/>
      <c r="M17" s="389"/>
      <c r="N17" s="389"/>
      <c r="O17" s="389"/>
      <c r="P17" s="389"/>
      <c r="Q17" s="390"/>
      <c r="R17" s="329"/>
    </row>
    <row r="18" spans="1:21" ht="15.75" x14ac:dyDescent="0.2">
      <c r="A18" s="232">
        <f>A4</f>
        <v>42917</v>
      </c>
      <c r="B18" s="221">
        <f t="shared" ref="B18:B23" si="1">SUM(B32,B46,B60,B74)</f>
        <v>6553</v>
      </c>
      <c r="C18" s="221">
        <f t="shared" ref="C18:P23" si="2">SUM(C32,C46,C60,C74)</f>
        <v>1746</v>
      </c>
      <c r="D18" s="221">
        <f t="shared" si="2"/>
        <v>7038</v>
      </c>
      <c r="E18" s="221">
        <f t="shared" si="2"/>
        <v>587</v>
      </c>
      <c r="F18" s="221">
        <f t="shared" si="2"/>
        <v>20826</v>
      </c>
      <c r="G18" s="221">
        <f t="shared" si="2"/>
        <v>9201</v>
      </c>
      <c r="H18" s="221">
        <f t="shared" si="2"/>
        <v>41957</v>
      </c>
      <c r="I18" s="221">
        <f t="shared" si="2"/>
        <v>9</v>
      </c>
      <c r="J18" s="221">
        <f t="shared" si="2"/>
        <v>35761</v>
      </c>
      <c r="K18" s="221">
        <f t="shared" si="2"/>
        <v>4754</v>
      </c>
      <c r="L18" s="221">
        <f t="shared" si="2"/>
        <v>227</v>
      </c>
      <c r="M18" s="221">
        <f t="shared" si="2"/>
        <v>1145</v>
      </c>
      <c r="N18" s="221">
        <f t="shared" si="2"/>
        <v>221</v>
      </c>
      <c r="O18" s="221">
        <f t="shared" si="2"/>
        <v>0</v>
      </c>
      <c r="P18" s="221">
        <f t="shared" si="2"/>
        <v>0</v>
      </c>
      <c r="Q18" s="233">
        <f t="shared" ref="Q18:Q21" si="3">ROUND(SUM(Q32,Q46,Q60,Q74),0)</f>
        <v>130025</v>
      </c>
      <c r="R18" s="61"/>
    </row>
    <row r="19" spans="1:21" ht="15.75" x14ac:dyDescent="0.2">
      <c r="A19" s="226">
        <f t="shared" ref="A19:A30" si="4">A5</f>
        <v>42948</v>
      </c>
      <c r="B19" s="3">
        <f t="shared" si="1"/>
        <v>6569</v>
      </c>
      <c r="C19" s="3">
        <f t="shared" si="2"/>
        <v>1771</v>
      </c>
      <c r="D19" s="3">
        <f t="shared" si="2"/>
        <v>7021</v>
      </c>
      <c r="E19" s="3">
        <f t="shared" si="2"/>
        <v>604</v>
      </c>
      <c r="F19" s="3">
        <f t="shared" si="2"/>
        <v>20766</v>
      </c>
      <c r="G19" s="3">
        <f t="shared" si="2"/>
        <v>9535</v>
      </c>
      <c r="H19" s="3">
        <f t="shared" si="2"/>
        <v>43254</v>
      </c>
      <c r="I19" s="3">
        <f t="shared" si="2"/>
        <v>8</v>
      </c>
      <c r="J19" s="3">
        <f t="shared" si="2"/>
        <v>35562</v>
      </c>
      <c r="K19" s="3">
        <f t="shared" si="2"/>
        <v>4896</v>
      </c>
      <c r="L19" s="3">
        <f t="shared" si="2"/>
        <v>225</v>
      </c>
      <c r="M19" s="3">
        <f t="shared" si="2"/>
        <v>1132</v>
      </c>
      <c r="N19" s="3">
        <f t="shared" si="2"/>
        <v>200</v>
      </c>
      <c r="O19" s="3">
        <f t="shared" si="2"/>
        <v>0</v>
      </c>
      <c r="P19" s="3">
        <f t="shared" si="2"/>
        <v>0</v>
      </c>
      <c r="Q19" s="227">
        <f t="shared" si="3"/>
        <v>131543</v>
      </c>
      <c r="R19" s="61"/>
    </row>
    <row r="20" spans="1:21" ht="15.75" x14ac:dyDescent="0.2">
      <c r="A20" s="226">
        <f t="shared" si="4"/>
        <v>42979</v>
      </c>
      <c r="B20" s="3">
        <f t="shared" si="1"/>
        <v>6535</v>
      </c>
      <c r="C20" s="3">
        <f t="shared" si="2"/>
        <v>1771</v>
      </c>
      <c r="D20" s="3">
        <f t="shared" si="2"/>
        <v>6954</v>
      </c>
      <c r="E20" s="3">
        <f t="shared" si="2"/>
        <v>607</v>
      </c>
      <c r="F20" s="3">
        <f t="shared" si="2"/>
        <v>20525</v>
      </c>
      <c r="G20" s="3">
        <f t="shared" si="2"/>
        <v>9345</v>
      </c>
      <c r="H20" s="3">
        <f t="shared" si="2"/>
        <v>43802</v>
      </c>
      <c r="I20" s="3">
        <f t="shared" si="2"/>
        <v>7</v>
      </c>
      <c r="J20" s="3">
        <f t="shared" si="2"/>
        <v>34835</v>
      </c>
      <c r="K20" s="3">
        <f t="shared" si="2"/>
        <v>4747</v>
      </c>
      <c r="L20" s="3">
        <f t="shared" si="2"/>
        <v>224</v>
      </c>
      <c r="M20" s="3">
        <f t="shared" si="2"/>
        <v>1119</v>
      </c>
      <c r="N20" s="3">
        <f t="shared" si="2"/>
        <v>188</v>
      </c>
      <c r="O20" s="3">
        <f t="shared" si="2"/>
        <v>0</v>
      </c>
      <c r="P20" s="3">
        <f t="shared" si="2"/>
        <v>0</v>
      </c>
      <c r="Q20" s="227">
        <f t="shared" si="3"/>
        <v>130659</v>
      </c>
      <c r="R20" s="61"/>
    </row>
    <row r="21" spans="1:21" ht="15.75" x14ac:dyDescent="0.2">
      <c r="A21" s="226">
        <f t="shared" si="4"/>
        <v>43009</v>
      </c>
      <c r="B21" s="3">
        <f t="shared" si="1"/>
        <v>7162</v>
      </c>
      <c r="C21" s="3">
        <f t="shared" si="2"/>
        <v>1856</v>
      </c>
      <c r="D21" s="3">
        <f t="shared" si="2"/>
        <v>7335</v>
      </c>
      <c r="E21" s="3">
        <f t="shared" si="2"/>
        <v>660</v>
      </c>
      <c r="F21" s="3">
        <f t="shared" si="2"/>
        <v>20361</v>
      </c>
      <c r="G21" s="3">
        <f t="shared" si="2"/>
        <v>8238</v>
      </c>
      <c r="H21" s="3">
        <f t="shared" si="2"/>
        <v>41032</v>
      </c>
      <c r="I21" s="3">
        <f t="shared" si="2"/>
        <v>8</v>
      </c>
      <c r="J21" s="3">
        <f t="shared" si="2"/>
        <v>34003</v>
      </c>
      <c r="K21" s="3">
        <f t="shared" si="2"/>
        <v>4695</v>
      </c>
      <c r="L21" s="3">
        <f t="shared" si="2"/>
        <v>235</v>
      </c>
      <c r="M21" s="3">
        <f t="shared" si="2"/>
        <v>1067</v>
      </c>
      <c r="N21" s="3">
        <f t="shared" si="2"/>
        <v>218</v>
      </c>
      <c r="O21" s="3">
        <f t="shared" si="2"/>
        <v>0</v>
      </c>
      <c r="P21" s="3">
        <f t="shared" si="2"/>
        <v>0</v>
      </c>
      <c r="Q21" s="227">
        <f t="shared" si="3"/>
        <v>126870</v>
      </c>
      <c r="R21" s="61"/>
    </row>
    <row r="22" spans="1:21" ht="15.75" x14ac:dyDescent="0.2">
      <c r="A22" s="226">
        <f t="shared" si="4"/>
        <v>43040</v>
      </c>
      <c r="B22" s="3">
        <f t="shared" si="1"/>
        <v>7225</v>
      </c>
      <c r="C22" s="3">
        <f t="shared" si="2"/>
        <v>1871</v>
      </c>
      <c r="D22" s="3">
        <f t="shared" si="2"/>
        <v>7344</v>
      </c>
      <c r="E22" s="3">
        <f t="shared" si="2"/>
        <v>645</v>
      </c>
      <c r="F22" s="3">
        <f t="shared" si="2"/>
        <v>20208</v>
      </c>
      <c r="G22" s="3">
        <f t="shared" si="2"/>
        <v>7817</v>
      </c>
      <c r="H22" s="3">
        <f t="shared" si="2"/>
        <v>40083</v>
      </c>
      <c r="I22" s="3">
        <f t="shared" si="2"/>
        <v>8</v>
      </c>
      <c r="J22" s="3">
        <f t="shared" si="2"/>
        <v>33338</v>
      </c>
      <c r="K22" s="3">
        <f t="shared" si="2"/>
        <v>4665</v>
      </c>
      <c r="L22" s="3">
        <f t="shared" si="2"/>
        <v>215</v>
      </c>
      <c r="M22" s="3">
        <f t="shared" si="2"/>
        <v>998</v>
      </c>
      <c r="N22" s="3">
        <f t="shared" si="2"/>
        <v>189</v>
      </c>
      <c r="O22" s="3">
        <f t="shared" si="2"/>
        <v>0</v>
      </c>
      <c r="P22" s="3">
        <f t="shared" si="2"/>
        <v>0</v>
      </c>
      <c r="Q22" s="227">
        <f>ROUND(SUM(Q36,Q50,Q64,Q78),0)</f>
        <v>124606</v>
      </c>
      <c r="R22" s="61"/>
    </row>
    <row r="23" spans="1:21" ht="15.75" x14ac:dyDescent="0.2">
      <c r="A23" s="226">
        <f t="shared" si="4"/>
        <v>43070</v>
      </c>
      <c r="B23" s="3">
        <f t="shared" si="1"/>
        <v>7257</v>
      </c>
      <c r="C23" s="3">
        <f t="shared" si="2"/>
        <v>1880</v>
      </c>
      <c r="D23" s="3">
        <f t="shared" si="2"/>
        <v>7360</v>
      </c>
      <c r="E23" s="3">
        <f t="shared" si="2"/>
        <v>699</v>
      </c>
      <c r="F23" s="3">
        <f t="shared" si="2"/>
        <v>20347</v>
      </c>
      <c r="G23" s="3">
        <f t="shared" si="2"/>
        <v>7964</v>
      </c>
      <c r="H23" s="3">
        <f t="shared" si="2"/>
        <v>41163</v>
      </c>
      <c r="I23" s="3">
        <f t="shared" si="2"/>
        <v>8</v>
      </c>
      <c r="J23" s="3">
        <f t="shared" si="2"/>
        <v>33602</v>
      </c>
      <c r="K23" s="3">
        <f t="shared" si="2"/>
        <v>4624</v>
      </c>
      <c r="L23" s="3">
        <f t="shared" si="2"/>
        <v>212</v>
      </c>
      <c r="M23" s="3">
        <f t="shared" si="2"/>
        <v>1010</v>
      </c>
      <c r="N23" s="3">
        <f t="shared" si="2"/>
        <v>202</v>
      </c>
      <c r="O23" s="3">
        <f t="shared" si="2"/>
        <v>0</v>
      </c>
      <c r="P23" s="3">
        <f t="shared" si="2"/>
        <v>0</v>
      </c>
      <c r="Q23" s="227">
        <f>ROUND(SUM(Q37,Q51,Q65,Q79),0)</f>
        <v>126328</v>
      </c>
      <c r="R23" s="61"/>
    </row>
    <row r="24" spans="1:21" ht="15.75" x14ac:dyDescent="0.2">
      <c r="A24" s="226">
        <f t="shared" si="4"/>
        <v>43101</v>
      </c>
      <c r="B24" s="3"/>
      <c r="C24" s="3"/>
      <c r="D24" s="3"/>
      <c r="E24" s="3"/>
      <c r="F24" s="3"/>
      <c r="G24" s="3"/>
      <c r="H24" s="3"/>
      <c r="I24" s="3"/>
      <c r="J24" s="3"/>
      <c r="K24" s="3"/>
      <c r="L24" s="3"/>
      <c r="M24" s="3"/>
      <c r="N24" s="3"/>
      <c r="O24" s="3"/>
      <c r="P24" s="3"/>
      <c r="Q24" s="227"/>
      <c r="R24" s="61"/>
    </row>
    <row r="25" spans="1:21" ht="15.75" x14ac:dyDescent="0.2">
      <c r="A25" s="226">
        <f t="shared" si="4"/>
        <v>43132</v>
      </c>
      <c r="B25" s="3"/>
      <c r="C25" s="3"/>
      <c r="D25" s="3"/>
      <c r="E25" s="3"/>
      <c r="F25" s="3"/>
      <c r="G25" s="3"/>
      <c r="H25" s="3"/>
      <c r="I25" s="3"/>
      <c r="J25" s="3"/>
      <c r="K25" s="3"/>
      <c r="L25" s="3"/>
      <c r="M25" s="3"/>
      <c r="N25" s="3"/>
      <c r="O25" s="3"/>
      <c r="P25" s="3"/>
      <c r="Q25" s="227"/>
      <c r="R25" s="61"/>
    </row>
    <row r="26" spans="1:21" ht="15.75" x14ac:dyDescent="0.2">
      <c r="A26" s="226">
        <f t="shared" si="4"/>
        <v>43160</v>
      </c>
      <c r="B26" s="3"/>
      <c r="C26" s="3"/>
      <c r="D26" s="3"/>
      <c r="E26" s="3"/>
      <c r="F26" s="3"/>
      <c r="G26" s="3"/>
      <c r="H26" s="3"/>
      <c r="I26" s="3"/>
      <c r="J26" s="3"/>
      <c r="K26" s="3"/>
      <c r="L26" s="3"/>
      <c r="M26" s="3"/>
      <c r="N26" s="3"/>
      <c r="O26" s="3"/>
      <c r="P26" s="3"/>
      <c r="Q26" s="227"/>
      <c r="R26" s="61"/>
    </row>
    <row r="27" spans="1:21" ht="15.75" x14ac:dyDescent="0.2">
      <c r="A27" s="226">
        <f t="shared" si="4"/>
        <v>43191</v>
      </c>
      <c r="B27" s="3"/>
      <c r="C27" s="3"/>
      <c r="D27" s="3"/>
      <c r="E27" s="3"/>
      <c r="F27" s="3"/>
      <c r="G27" s="3"/>
      <c r="H27" s="3"/>
      <c r="I27" s="3"/>
      <c r="J27" s="3"/>
      <c r="K27" s="3"/>
      <c r="L27" s="3"/>
      <c r="M27" s="3"/>
      <c r="N27" s="3"/>
      <c r="O27" s="3"/>
      <c r="P27" s="3"/>
      <c r="Q27" s="227"/>
      <c r="R27" s="61"/>
    </row>
    <row r="28" spans="1:21" ht="15.75" x14ac:dyDescent="0.2">
      <c r="A28" s="226">
        <f t="shared" si="4"/>
        <v>43221</v>
      </c>
      <c r="B28" s="3"/>
      <c r="C28" s="3"/>
      <c r="D28" s="3"/>
      <c r="E28" s="3"/>
      <c r="F28" s="3"/>
      <c r="G28" s="3"/>
      <c r="H28" s="3"/>
      <c r="I28" s="3"/>
      <c r="J28" s="3"/>
      <c r="K28" s="3"/>
      <c r="L28" s="3"/>
      <c r="M28" s="3"/>
      <c r="N28" s="3"/>
      <c r="O28" s="3"/>
      <c r="P28" s="3"/>
      <c r="Q28" s="227"/>
      <c r="R28" s="61"/>
    </row>
    <row r="29" spans="1:21" ht="16.5" thickBot="1" x14ac:dyDescent="0.25">
      <c r="A29" s="276">
        <f t="shared" si="4"/>
        <v>43252</v>
      </c>
      <c r="B29" s="277"/>
      <c r="C29" s="277"/>
      <c r="D29" s="277"/>
      <c r="E29" s="277"/>
      <c r="F29" s="277"/>
      <c r="G29" s="277"/>
      <c r="H29" s="277"/>
      <c r="I29" s="277"/>
      <c r="J29" s="277"/>
      <c r="K29" s="277"/>
      <c r="L29" s="277"/>
      <c r="M29" s="277"/>
      <c r="N29" s="277"/>
      <c r="O29" s="277"/>
      <c r="P29" s="277"/>
      <c r="Q29" s="278"/>
      <c r="R29" s="61"/>
      <c r="T29" s="281"/>
    </row>
    <row r="30" spans="1:21" ht="17.25" thickTop="1" thickBot="1" x14ac:dyDescent="0.3">
      <c r="A30" s="234" t="str">
        <f t="shared" si="4"/>
        <v>FY 2017-18 Year-to-Date Average</v>
      </c>
      <c r="B30" s="5">
        <f t="shared" ref="B30:G30" si="5">ROUND(+AVERAGE(B18:B29),0)</f>
        <v>6884</v>
      </c>
      <c r="C30" s="5">
        <f>ROUND(+AVERAGE(C18:C29),0)</f>
        <v>1816</v>
      </c>
      <c r="D30" s="5">
        <f>ROUND(+AVERAGE(D18:D29),0)</f>
        <v>7175</v>
      </c>
      <c r="E30" s="5">
        <f t="shared" si="5"/>
        <v>634</v>
      </c>
      <c r="F30" s="5">
        <f>ROUND(+AVERAGE(F18:F29),0)</f>
        <v>20506</v>
      </c>
      <c r="G30" s="5">
        <f t="shared" si="5"/>
        <v>8683</v>
      </c>
      <c r="H30" s="5">
        <f>ROUND(+AVERAGE(H18:H29),0)</f>
        <v>41882</v>
      </c>
      <c r="I30" s="5">
        <f t="shared" ref="I30:P30" si="6">ROUND(+AVERAGE(I18:I29),0)</f>
        <v>8</v>
      </c>
      <c r="J30" s="5">
        <f>ROUNDDOWN(+AVERAGE(J18:J29),0)</f>
        <v>34516</v>
      </c>
      <c r="K30" s="5">
        <f>ROUND(+AVERAGE(K18:K29),0)</f>
        <v>4730</v>
      </c>
      <c r="L30" s="5">
        <f t="shared" si="6"/>
        <v>223</v>
      </c>
      <c r="M30" s="5">
        <f>ROUND(+AVERAGE(M18:M29),0)</f>
        <v>1079</v>
      </c>
      <c r="N30" s="5">
        <f>ROUND(+AVERAGE(N18:N29),0)</f>
        <v>203</v>
      </c>
      <c r="O30" s="5">
        <f t="shared" si="6"/>
        <v>0</v>
      </c>
      <c r="P30" s="5">
        <f t="shared" si="6"/>
        <v>0</v>
      </c>
      <c r="Q30" s="235">
        <f>ROUND(SUM(B30:P30),0)</f>
        <v>128339</v>
      </c>
      <c r="R30" s="61"/>
      <c r="S30" s="5"/>
      <c r="T30" s="632"/>
    </row>
    <row r="31" spans="1:21" ht="16.5" thickBot="1" x14ac:dyDescent="0.25">
      <c r="A31" s="388" t="s">
        <v>168</v>
      </c>
      <c r="B31" s="389"/>
      <c r="C31" s="389"/>
      <c r="D31" s="389"/>
      <c r="E31" s="389"/>
      <c r="F31" s="389"/>
      <c r="G31" s="389"/>
      <c r="H31" s="389"/>
      <c r="I31" s="389"/>
      <c r="J31" s="389"/>
      <c r="K31" s="389"/>
      <c r="L31" s="389"/>
      <c r="M31" s="389"/>
      <c r="N31" s="389"/>
      <c r="O31" s="389"/>
      <c r="P31" s="389"/>
      <c r="Q31" s="390"/>
      <c r="R31" s="329"/>
    </row>
    <row r="32" spans="1:21" ht="15.75" x14ac:dyDescent="0.2">
      <c r="A32" s="232">
        <f>A4</f>
        <v>42917</v>
      </c>
      <c r="B32" s="221">
        <v>1574</v>
      </c>
      <c r="C32" s="221">
        <v>600</v>
      </c>
      <c r="D32" s="221">
        <v>3186</v>
      </c>
      <c r="E32" s="221">
        <v>401</v>
      </c>
      <c r="F32" s="221">
        <v>9069</v>
      </c>
      <c r="G32" s="221">
        <v>4505</v>
      </c>
      <c r="H32" s="221">
        <v>17645</v>
      </c>
      <c r="I32" s="221">
        <v>0</v>
      </c>
      <c r="J32" s="221">
        <v>90</v>
      </c>
      <c r="K32" s="221">
        <v>19</v>
      </c>
      <c r="L32" s="221">
        <v>1</v>
      </c>
      <c r="M32" s="221">
        <v>539</v>
      </c>
      <c r="N32" s="221">
        <v>132</v>
      </c>
      <c r="O32" s="221">
        <v>0</v>
      </c>
      <c r="P32" s="221">
        <v>0</v>
      </c>
      <c r="Q32" s="233">
        <v>37761</v>
      </c>
      <c r="R32" s="61"/>
      <c r="U32" s="281"/>
    </row>
    <row r="33" spans="1:23" ht="15.75" x14ac:dyDescent="0.2">
      <c r="A33" s="226">
        <f t="shared" ref="A33:A44" si="7">A5</f>
        <v>42948</v>
      </c>
      <c r="B33" s="3">
        <v>1597</v>
      </c>
      <c r="C33" s="3">
        <v>614</v>
      </c>
      <c r="D33" s="3">
        <v>3177</v>
      </c>
      <c r="E33" s="3">
        <v>408</v>
      </c>
      <c r="F33" s="3">
        <v>8975</v>
      </c>
      <c r="G33" s="3">
        <v>4614</v>
      </c>
      <c r="H33" s="3">
        <v>17842</v>
      </c>
      <c r="I33" s="3">
        <v>0</v>
      </c>
      <c r="J33" s="3">
        <v>77</v>
      </c>
      <c r="K33" s="3">
        <v>15</v>
      </c>
      <c r="L33" s="3">
        <v>3</v>
      </c>
      <c r="M33" s="3">
        <v>533</v>
      </c>
      <c r="N33" s="3">
        <v>118</v>
      </c>
      <c r="O33" s="3">
        <v>0</v>
      </c>
      <c r="P33" s="3">
        <v>0</v>
      </c>
      <c r="Q33" s="227">
        <v>37973</v>
      </c>
      <c r="R33" s="61"/>
      <c r="U33" s="281"/>
    </row>
    <row r="34" spans="1:23" ht="15.75" x14ac:dyDescent="0.2">
      <c r="A34" s="226">
        <f t="shared" si="7"/>
        <v>42979</v>
      </c>
      <c r="B34" s="3">
        <v>1588</v>
      </c>
      <c r="C34" s="3">
        <v>616</v>
      </c>
      <c r="D34" s="3">
        <v>3166</v>
      </c>
      <c r="E34" s="3">
        <v>417</v>
      </c>
      <c r="F34" s="3">
        <v>8923</v>
      </c>
      <c r="G34" s="3">
        <v>4590</v>
      </c>
      <c r="H34" s="3">
        <v>17920</v>
      </c>
      <c r="I34" s="3">
        <v>0</v>
      </c>
      <c r="J34" s="3">
        <v>34</v>
      </c>
      <c r="K34" s="3">
        <v>9</v>
      </c>
      <c r="L34" s="3">
        <v>0</v>
      </c>
      <c r="M34" s="3">
        <v>492</v>
      </c>
      <c r="N34" s="3">
        <v>118</v>
      </c>
      <c r="O34" s="3">
        <v>0</v>
      </c>
      <c r="P34" s="3">
        <v>0</v>
      </c>
      <c r="Q34" s="227">
        <v>37873</v>
      </c>
      <c r="R34" s="61"/>
      <c r="S34" s="281"/>
      <c r="U34" s="281"/>
    </row>
    <row r="35" spans="1:23" ht="15.75" x14ac:dyDescent="0.2">
      <c r="A35" s="226">
        <f t="shared" si="7"/>
        <v>43009</v>
      </c>
      <c r="B35" s="3">
        <v>1640</v>
      </c>
      <c r="C35" s="3">
        <v>624</v>
      </c>
      <c r="D35" s="3">
        <v>3211</v>
      </c>
      <c r="E35" s="3">
        <v>440</v>
      </c>
      <c r="F35" s="3">
        <v>8910</v>
      </c>
      <c r="G35" s="3">
        <v>4120</v>
      </c>
      <c r="H35" s="3">
        <v>17074</v>
      </c>
      <c r="I35" s="3">
        <v>0</v>
      </c>
      <c r="J35" s="3">
        <v>92</v>
      </c>
      <c r="K35" s="3">
        <v>19</v>
      </c>
      <c r="L35" s="3">
        <v>0</v>
      </c>
      <c r="M35" s="3">
        <v>489</v>
      </c>
      <c r="N35" s="3">
        <v>122</v>
      </c>
      <c r="O35" s="3">
        <v>0</v>
      </c>
      <c r="P35" s="3">
        <v>0</v>
      </c>
      <c r="Q35" s="227">
        <v>36741</v>
      </c>
      <c r="R35" s="61"/>
      <c r="U35" s="281"/>
    </row>
    <row r="36" spans="1:23" ht="15.75" x14ac:dyDescent="0.2">
      <c r="A36" s="226">
        <f t="shared" si="7"/>
        <v>43040</v>
      </c>
      <c r="B36" s="3">
        <v>1674</v>
      </c>
      <c r="C36" s="3">
        <v>616</v>
      </c>
      <c r="D36" s="3">
        <v>3231</v>
      </c>
      <c r="E36" s="3">
        <v>441</v>
      </c>
      <c r="F36" s="3">
        <v>8915</v>
      </c>
      <c r="G36" s="3">
        <v>3960</v>
      </c>
      <c r="H36" s="3">
        <v>16777</v>
      </c>
      <c r="I36" s="3">
        <v>0</v>
      </c>
      <c r="J36" s="3">
        <v>124</v>
      </c>
      <c r="K36" s="3">
        <v>26</v>
      </c>
      <c r="L36" s="3">
        <v>0</v>
      </c>
      <c r="M36" s="3">
        <v>459</v>
      </c>
      <c r="N36" s="3">
        <v>111</v>
      </c>
      <c r="O36" s="3">
        <v>0</v>
      </c>
      <c r="P36" s="3">
        <v>0</v>
      </c>
      <c r="Q36" s="227">
        <v>36334</v>
      </c>
      <c r="R36" s="61"/>
      <c r="U36" s="281"/>
    </row>
    <row r="37" spans="1:23" ht="15.75" x14ac:dyDescent="0.2">
      <c r="A37" s="226">
        <f t="shared" si="7"/>
        <v>43070</v>
      </c>
      <c r="B37" s="3">
        <v>1701</v>
      </c>
      <c r="C37" s="3">
        <v>611</v>
      </c>
      <c r="D37" s="3">
        <v>3227</v>
      </c>
      <c r="E37" s="3">
        <v>453</v>
      </c>
      <c r="F37" s="3">
        <v>8888</v>
      </c>
      <c r="G37" s="3">
        <v>4025</v>
      </c>
      <c r="H37" s="3">
        <v>16813</v>
      </c>
      <c r="I37" s="3">
        <v>0</v>
      </c>
      <c r="J37" s="3">
        <v>35</v>
      </c>
      <c r="K37" s="3">
        <v>7</v>
      </c>
      <c r="L37" s="3">
        <v>0</v>
      </c>
      <c r="M37" s="3">
        <v>445</v>
      </c>
      <c r="N37" s="3">
        <v>116</v>
      </c>
      <c r="O37" s="3">
        <v>0</v>
      </c>
      <c r="P37" s="3">
        <v>0</v>
      </c>
      <c r="Q37" s="227">
        <v>36321</v>
      </c>
      <c r="R37" s="61"/>
      <c r="U37" s="281"/>
    </row>
    <row r="38" spans="1:23" ht="15.75" x14ac:dyDescent="0.2">
      <c r="A38" s="226">
        <f t="shared" si="7"/>
        <v>43101</v>
      </c>
      <c r="B38" s="3"/>
      <c r="C38" s="3"/>
      <c r="D38" s="3"/>
      <c r="E38" s="3"/>
      <c r="F38" s="3"/>
      <c r="G38" s="3"/>
      <c r="H38" s="3"/>
      <c r="I38" s="3"/>
      <c r="J38" s="3"/>
      <c r="K38" s="3"/>
      <c r="L38" s="3"/>
      <c r="M38" s="3"/>
      <c r="N38" s="3"/>
      <c r="O38" s="3"/>
      <c r="P38" s="3"/>
      <c r="Q38" s="227"/>
      <c r="R38" s="61"/>
      <c r="U38" s="281"/>
    </row>
    <row r="39" spans="1:23" ht="15.75" x14ac:dyDescent="0.2">
      <c r="A39" s="226">
        <f t="shared" si="7"/>
        <v>43132</v>
      </c>
      <c r="B39" s="3"/>
      <c r="C39" s="3"/>
      <c r="D39" s="3"/>
      <c r="E39" s="3"/>
      <c r="F39" s="3"/>
      <c r="G39" s="3"/>
      <c r="H39" s="3"/>
      <c r="I39" s="3"/>
      <c r="J39" s="3"/>
      <c r="K39" s="3"/>
      <c r="L39" s="3"/>
      <c r="M39" s="3"/>
      <c r="N39" s="3"/>
      <c r="O39" s="3"/>
      <c r="P39" s="3"/>
      <c r="Q39" s="227"/>
      <c r="R39" s="61"/>
      <c r="U39" s="281"/>
    </row>
    <row r="40" spans="1:23" ht="15.75" x14ac:dyDescent="0.2">
      <c r="A40" s="226">
        <f t="shared" si="7"/>
        <v>43160</v>
      </c>
      <c r="B40" s="3"/>
      <c r="C40" s="3"/>
      <c r="D40" s="3"/>
      <c r="E40" s="3"/>
      <c r="F40" s="3"/>
      <c r="G40" s="3"/>
      <c r="H40" s="3"/>
      <c r="I40" s="3"/>
      <c r="J40" s="3"/>
      <c r="K40" s="3"/>
      <c r="L40" s="3"/>
      <c r="M40" s="3"/>
      <c r="N40" s="3"/>
      <c r="O40" s="3"/>
      <c r="P40" s="3"/>
      <c r="Q40" s="227"/>
      <c r="R40" s="61"/>
      <c r="U40" s="281"/>
    </row>
    <row r="41" spans="1:23" ht="15.75" x14ac:dyDescent="0.2">
      <c r="A41" s="226">
        <f t="shared" si="7"/>
        <v>43191</v>
      </c>
      <c r="B41" s="3"/>
      <c r="C41" s="3"/>
      <c r="D41" s="3"/>
      <c r="E41" s="3"/>
      <c r="F41" s="3"/>
      <c r="G41" s="3"/>
      <c r="H41" s="3"/>
      <c r="I41" s="3"/>
      <c r="J41" s="3"/>
      <c r="K41" s="3"/>
      <c r="L41" s="3"/>
      <c r="M41" s="3"/>
      <c r="N41" s="3"/>
      <c r="O41" s="3"/>
      <c r="P41" s="3"/>
      <c r="Q41" s="227"/>
      <c r="R41" s="61"/>
    </row>
    <row r="42" spans="1:23" ht="15.75" x14ac:dyDescent="0.2">
      <c r="A42" s="226">
        <f t="shared" si="7"/>
        <v>43221</v>
      </c>
      <c r="B42" s="3"/>
      <c r="C42" s="3"/>
      <c r="D42" s="3"/>
      <c r="E42" s="3"/>
      <c r="F42" s="3"/>
      <c r="G42" s="3"/>
      <c r="H42" s="3"/>
      <c r="I42" s="3"/>
      <c r="J42" s="3"/>
      <c r="K42" s="3"/>
      <c r="L42" s="3"/>
      <c r="M42" s="3"/>
      <c r="N42" s="3"/>
      <c r="O42" s="3"/>
      <c r="P42" s="3"/>
      <c r="Q42" s="227"/>
      <c r="R42" s="61"/>
    </row>
    <row r="43" spans="1:23" ht="16.5" thickBot="1" x14ac:dyDescent="0.25">
      <c r="A43" s="276">
        <f t="shared" si="7"/>
        <v>43252</v>
      </c>
      <c r="B43" s="277"/>
      <c r="C43" s="277"/>
      <c r="D43" s="277"/>
      <c r="E43" s="277"/>
      <c r="F43" s="371"/>
      <c r="G43" s="371"/>
      <c r="H43" s="277"/>
      <c r="I43" s="277"/>
      <c r="J43" s="277"/>
      <c r="K43" s="277"/>
      <c r="L43" s="277"/>
      <c r="M43" s="277"/>
      <c r="N43" s="277"/>
      <c r="O43" s="277"/>
      <c r="P43" s="277"/>
      <c r="Q43" s="278"/>
      <c r="R43" s="61"/>
      <c r="W43" s="281"/>
    </row>
    <row r="44" spans="1:23" ht="17.25" thickTop="1" thickBot="1" x14ac:dyDescent="0.3">
      <c r="A44" s="234" t="str">
        <f t="shared" si="7"/>
        <v>FY 2017-18 Year-to-Date Average</v>
      </c>
      <c r="B44" s="5">
        <f>ROUND(+AVERAGE(B32:B43),0)</f>
        <v>1629</v>
      </c>
      <c r="C44" s="5">
        <f>ROUND(+AVERAGE(C32:C43),0)</f>
        <v>614</v>
      </c>
      <c r="D44" s="5">
        <f>ROUNDDOWN(+AVERAGE(D32:D43),0)</f>
        <v>3199</v>
      </c>
      <c r="E44" s="5">
        <f t="shared" ref="E44:P44" si="8">ROUND(+AVERAGE(E32:E43),0)</f>
        <v>427</v>
      </c>
      <c r="F44" s="5">
        <f>ROUNDDOWN(+AVERAGE(F32:F43),0)</f>
        <v>8946</v>
      </c>
      <c r="G44" s="5">
        <f>ROUND(+AVERAGE(G32:G43),0)</f>
        <v>4302</v>
      </c>
      <c r="H44" s="5">
        <f>ROUND(+AVERAGE(H32:H43),0)</f>
        <v>17345</v>
      </c>
      <c r="I44" s="5">
        <f t="shared" si="8"/>
        <v>0</v>
      </c>
      <c r="J44" s="5">
        <f>ROUND(+AVERAGE(J32:J43),0)</f>
        <v>75</v>
      </c>
      <c r="K44" s="5">
        <f t="shared" si="8"/>
        <v>16</v>
      </c>
      <c r="L44" s="5">
        <f t="shared" si="8"/>
        <v>1</v>
      </c>
      <c r="M44" s="5">
        <f t="shared" si="8"/>
        <v>493</v>
      </c>
      <c r="N44" s="5">
        <f t="shared" si="8"/>
        <v>120</v>
      </c>
      <c r="O44" s="5">
        <f t="shared" si="8"/>
        <v>0</v>
      </c>
      <c r="P44" s="5">
        <f t="shared" si="8"/>
        <v>0</v>
      </c>
      <c r="Q44" s="235">
        <f>ROUND(SUM(B44:P44),0)</f>
        <v>37167</v>
      </c>
      <c r="R44" s="61"/>
      <c r="S44" s="5"/>
      <c r="T44" s="281"/>
      <c r="U44" s="632"/>
    </row>
    <row r="45" spans="1:23" ht="16.5" thickBot="1" x14ac:dyDescent="0.25">
      <c r="A45" s="388" t="s">
        <v>295</v>
      </c>
      <c r="B45" s="389"/>
      <c r="C45" s="389"/>
      <c r="D45" s="389"/>
      <c r="E45" s="389"/>
      <c r="F45" s="389"/>
      <c r="G45" s="389"/>
      <c r="H45" s="389"/>
      <c r="I45" s="389"/>
      <c r="J45" s="389"/>
      <c r="K45" s="389"/>
      <c r="L45" s="389"/>
      <c r="M45" s="389"/>
      <c r="N45" s="389"/>
      <c r="O45" s="389"/>
      <c r="P45" s="389"/>
      <c r="Q45" s="390"/>
      <c r="R45" s="61"/>
      <c r="S45" s="5"/>
      <c r="T45" s="281"/>
    </row>
    <row r="46" spans="1:23" ht="15.75" x14ac:dyDescent="0.2">
      <c r="A46" s="232">
        <f>A4</f>
        <v>42917</v>
      </c>
      <c r="B46" s="221">
        <v>0</v>
      </c>
      <c r="C46" s="221">
        <v>0</v>
      </c>
      <c r="D46" s="221">
        <v>0</v>
      </c>
      <c r="E46" s="221">
        <v>0</v>
      </c>
      <c r="F46" s="221">
        <v>4</v>
      </c>
      <c r="G46" s="221">
        <v>0</v>
      </c>
      <c r="H46" s="221">
        <v>0</v>
      </c>
      <c r="I46" s="221">
        <v>0</v>
      </c>
      <c r="J46" s="221">
        <v>3</v>
      </c>
      <c r="K46" s="221">
        <v>0</v>
      </c>
      <c r="L46" s="221">
        <v>0</v>
      </c>
      <c r="M46" s="221">
        <v>0</v>
      </c>
      <c r="N46" s="221">
        <v>0</v>
      </c>
      <c r="O46" s="221">
        <v>0</v>
      </c>
      <c r="P46" s="221">
        <v>0</v>
      </c>
      <c r="Q46" s="233">
        <v>7</v>
      </c>
      <c r="R46" s="61"/>
      <c r="S46" s="5"/>
      <c r="T46" s="281"/>
    </row>
    <row r="47" spans="1:23" ht="15.75" x14ac:dyDescent="0.2">
      <c r="A47" s="226">
        <f t="shared" ref="A47:A58" si="9">A5</f>
        <v>42948</v>
      </c>
      <c r="B47" s="3">
        <v>0</v>
      </c>
      <c r="C47" s="3">
        <v>0</v>
      </c>
      <c r="D47" s="3">
        <v>0</v>
      </c>
      <c r="E47" s="3">
        <v>0</v>
      </c>
      <c r="F47" s="3">
        <v>4</v>
      </c>
      <c r="G47" s="3">
        <v>0</v>
      </c>
      <c r="H47" s="3">
        <v>0</v>
      </c>
      <c r="I47" s="3">
        <v>0</v>
      </c>
      <c r="J47" s="3">
        <v>3</v>
      </c>
      <c r="K47" s="3">
        <v>0</v>
      </c>
      <c r="L47" s="3">
        <v>0</v>
      </c>
      <c r="M47" s="3">
        <v>0</v>
      </c>
      <c r="N47" s="3">
        <v>0</v>
      </c>
      <c r="O47" s="3">
        <v>0</v>
      </c>
      <c r="P47" s="3">
        <v>0</v>
      </c>
      <c r="Q47" s="227">
        <v>7</v>
      </c>
      <c r="R47" s="61"/>
      <c r="S47" s="5"/>
      <c r="T47" s="281"/>
    </row>
    <row r="48" spans="1:23" ht="15.75" x14ac:dyDescent="0.2">
      <c r="A48" s="226">
        <f t="shared" si="9"/>
        <v>42979</v>
      </c>
      <c r="B48" s="3">
        <v>0</v>
      </c>
      <c r="C48" s="3">
        <v>0</v>
      </c>
      <c r="D48" s="3">
        <v>0</v>
      </c>
      <c r="E48" s="3">
        <v>0</v>
      </c>
      <c r="F48" s="3">
        <v>0</v>
      </c>
      <c r="G48" s="3">
        <v>0</v>
      </c>
      <c r="H48" s="3">
        <v>0</v>
      </c>
      <c r="I48" s="3">
        <v>0</v>
      </c>
      <c r="J48" s="3">
        <v>0</v>
      </c>
      <c r="K48" s="3">
        <v>0</v>
      </c>
      <c r="L48" s="3">
        <v>0</v>
      </c>
      <c r="M48" s="3">
        <v>0</v>
      </c>
      <c r="N48" s="3">
        <v>0</v>
      </c>
      <c r="O48" s="3">
        <v>0</v>
      </c>
      <c r="P48" s="3">
        <v>0</v>
      </c>
      <c r="Q48" s="227">
        <v>0</v>
      </c>
      <c r="R48" s="61"/>
      <c r="S48" s="5"/>
      <c r="T48" s="281"/>
    </row>
    <row r="49" spans="1:20" ht="15.75" x14ac:dyDescent="0.2">
      <c r="A49" s="226">
        <f t="shared" si="9"/>
        <v>43009</v>
      </c>
      <c r="B49" s="3">
        <v>0</v>
      </c>
      <c r="C49" s="3">
        <v>0</v>
      </c>
      <c r="D49" s="3">
        <v>0</v>
      </c>
      <c r="E49" s="3">
        <v>0</v>
      </c>
      <c r="F49" s="3">
        <v>0</v>
      </c>
      <c r="G49" s="3">
        <v>0</v>
      </c>
      <c r="H49" s="3">
        <v>0</v>
      </c>
      <c r="I49" s="3">
        <v>0</v>
      </c>
      <c r="J49" s="3">
        <v>0</v>
      </c>
      <c r="K49" s="3">
        <v>0</v>
      </c>
      <c r="L49" s="3">
        <v>0</v>
      </c>
      <c r="M49" s="3">
        <v>0</v>
      </c>
      <c r="N49" s="3">
        <v>0</v>
      </c>
      <c r="O49" s="3">
        <v>0</v>
      </c>
      <c r="P49" s="3">
        <v>0</v>
      </c>
      <c r="Q49" s="227">
        <v>0</v>
      </c>
      <c r="R49" s="61"/>
      <c r="S49" s="5"/>
      <c r="T49" s="281"/>
    </row>
    <row r="50" spans="1:20" ht="15.75" x14ac:dyDescent="0.2">
      <c r="A50" s="226">
        <f t="shared" si="9"/>
        <v>43040</v>
      </c>
      <c r="B50" s="3">
        <v>0</v>
      </c>
      <c r="C50" s="3">
        <v>0</v>
      </c>
      <c r="D50" s="3">
        <v>0</v>
      </c>
      <c r="E50" s="3">
        <v>0</v>
      </c>
      <c r="F50" s="3">
        <v>0</v>
      </c>
      <c r="G50" s="3">
        <v>0</v>
      </c>
      <c r="H50" s="3">
        <v>0</v>
      </c>
      <c r="I50" s="3">
        <v>0</v>
      </c>
      <c r="J50" s="3">
        <v>0</v>
      </c>
      <c r="K50" s="3">
        <v>0</v>
      </c>
      <c r="L50" s="3">
        <v>0</v>
      </c>
      <c r="M50" s="3">
        <v>0</v>
      </c>
      <c r="N50" s="3">
        <v>0</v>
      </c>
      <c r="O50" s="3">
        <v>0</v>
      </c>
      <c r="P50" s="3">
        <v>0</v>
      </c>
      <c r="Q50" s="227">
        <v>0</v>
      </c>
      <c r="R50" s="61"/>
      <c r="S50" s="5"/>
      <c r="T50" s="281"/>
    </row>
    <row r="51" spans="1:20" ht="15.75" x14ac:dyDescent="0.2">
      <c r="A51" s="226">
        <f t="shared" si="9"/>
        <v>43070</v>
      </c>
      <c r="B51" s="3">
        <v>0</v>
      </c>
      <c r="C51" s="3">
        <v>0</v>
      </c>
      <c r="D51" s="3">
        <v>0</v>
      </c>
      <c r="E51" s="3">
        <v>0</v>
      </c>
      <c r="F51" s="3">
        <v>0</v>
      </c>
      <c r="G51" s="3">
        <v>0</v>
      </c>
      <c r="H51" s="3">
        <v>0</v>
      </c>
      <c r="I51" s="3">
        <v>0</v>
      </c>
      <c r="J51" s="3">
        <v>0</v>
      </c>
      <c r="K51" s="3">
        <v>0</v>
      </c>
      <c r="L51" s="3">
        <v>0</v>
      </c>
      <c r="M51" s="3">
        <v>0</v>
      </c>
      <c r="N51" s="3">
        <v>0</v>
      </c>
      <c r="O51" s="3">
        <v>0</v>
      </c>
      <c r="P51" s="3">
        <v>0</v>
      </c>
      <c r="Q51" s="227">
        <v>0</v>
      </c>
      <c r="R51" s="61"/>
      <c r="S51" s="5"/>
      <c r="T51" s="281"/>
    </row>
    <row r="52" spans="1:20" ht="15.75" x14ac:dyDescent="0.2">
      <c r="A52" s="226">
        <f t="shared" si="9"/>
        <v>43101</v>
      </c>
      <c r="B52" s="3"/>
      <c r="C52" s="3"/>
      <c r="D52" s="3"/>
      <c r="E52" s="3"/>
      <c r="F52" s="3"/>
      <c r="G52" s="3"/>
      <c r="H52" s="3"/>
      <c r="I52" s="3"/>
      <c r="J52" s="3"/>
      <c r="K52" s="3"/>
      <c r="L52" s="3"/>
      <c r="M52" s="3"/>
      <c r="N52" s="3"/>
      <c r="O52" s="3"/>
      <c r="P52" s="3"/>
      <c r="Q52" s="227"/>
      <c r="R52" s="61"/>
      <c r="S52" s="5"/>
      <c r="T52" s="281"/>
    </row>
    <row r="53" spans="1:20" ht="15.75" x14ac:dyDescent="0.2">
      <c r="A53" s="226">
        <f t="shared" si="9"/>
        <v>43132</v>
      </c>
      <c r="B53" s="3"/>
      <c r="C53" s="3"/>
      <c r="D53" s="3"/>
      <c r="E53" s="3"/>
      <c r="F53" s="3"/>
      <c r="G53" s="3"/>
      <c r="H53" s="3"/>
      <c r="I53" s="3"/>
      <c r="J53" s="3"/>
      <c r="K53" s="3"/>
      <c r="L53" s="3"/>
      <c r="M53" s="3"/>
      <c r="N53" s="3"/>
      <c r="O53" s="3"/>
      <c r="P53" s="3"/>
      <c r="Q53" s="227"/>
      <c r="R53" s="61"/>
      <c r="S53" s="5"/>
      <c r="T53" s="281"/>
    </row>
    <row r="54" spans="1:20" ht="15.75" x14ac:dyDescent="0.2">
      <c r="A54" s="226">
        <f t="shared" si="9"/>
        <v>43160</v>
      </c>
      <c r="B54" s="3"/>
      <c r="C54" s="3"/>
      <c r="D54" s="3"/>
      <c r="E54" s="3"/>
      <c r="F54" s="3"/>
      <c r="G54" s="3"/>
      <c r="H54" s="3"/>
      <c r="I54" s="3"/>
      <c r="J54" s="3"/>
      <c r="K54" s="3"/>
      <c r="L54" s="3"/>
      <c r="M54" s="3"/>
      <c r="N54" s="3"/>
      <c r="O54" s="3"/>
      <c r="P54" s="3"/>
      <c r="Q54" s="227"/>
      <c r="R54" s="61"/>
      <c r="S54" s="5"/>
      <c r="T54" s="281"/>
    </row>
    <row r="55" spans="1:20" ht="15.75" x14ac:dyDescent="0.2">
      <c r="A55" s="226">
        <f t="shared" si="9"/>
        <v>43191</v>
      </c>
      <c r="B55" s="3"/>
      <c r="C55" s="3"/>
      <c r="D55" s="3"/>
      <c r="E55" s="3"/>
      <c r="F55" s="3"/>
      <c r="G55" s="3"/>
      <c r="H55" s="3"/>
      <c r="I55" s="3"/>
      <c r="J55" s="3"/>
      <c r="K55" s="3"/>
      <c r="L55" s="3"/>
      <c r="M55" s="3"/>
      <c r="N55" s="3"/>
      <c r="O55" s="3"/>
      <c r="P55" s="3"/>
      <c r="Q55" s="227"/>
      <c r="R55" s="61"/>
      <c r="S55" s="5"/>
      <c r="T55" s="281"/>
    </row>
    <row r="56" spans="1:20" ht="15.75" x14ac:dyDescent="0.2">
      <c r="A56" s="226">
        <f t="shared" si="9"/>
        <v>43221</v>
      </c>
      <c r="B56" s="3"/>
      <c r="C56" s="3"/>
      <c r="D56" s="3"/>
      <c r="E56" s="3"/>
      <c r="F56" s="3"/>
      <c r="G56" s="3"/>
      <c r="H56" s="3"/>
      <c r="I56" s="3"/>
      <c r="J56" s="3"/>
      <c r="K56" s="3"/>
      <c r="L56" s="3"/>
      <c r="M56" s="3"/>
      <c r="N56" s="3"/>
      <c r="O56" s="3"/>
      <c r="P56" s="3"/>
      <c r="Q56" s="227"/>
      <c r="R56" s="61"/>
      <c r="S56" s="5"/>
      <c r="T56" s="281"/>
    </row>
    <row r="57" spans="1:20" ht="16.5" thickBot="1" x14ac:dyDescent="0.25">
      <c r="A57" s="276">
        <f t="shared" si="9"/>
        <v>43252</v>
      </c>
      <c r="B57" s="277"/>
      <c r="C57" s="277"/>
      <c r="D57" s="277"/>
      <c r="E57" s="277"/>
      <c r="F57" s="371"/>
      <c r="G57" s="371"/>
      <c r="H57" s="277"/>
      <c r="I57" s="277"/>
      <c r="J57" s="277"/>
      <c r="K57" s="277"/>
      <c r="L57" s="277"/>
      <c r="M57" s="277"/>
      <c r="N57" s="277"/>
      <c r="O57" s="277"/>
      <c r="P57" s="277"/>
      <c r="Q57" s="278"/>
      <c r="R57" s="61"/>
      <c r="S57" s="5"/>
      <c r="T57" s="281"/>
    </row>
    <row r="58" spans="1:20" ht="17.25" thickTop="1" thickBot="1" x14ac:dyDescent="0.3">
      <c r="A58" s="234" t="str">
        <f t="shared" si="9"/>
        <v>FY 2017-18 Year-to-Date Average</v>
      </c>
      <c r="B58" s="5">
        <f t="shared" ref="B58:G58" si="10">ROUND(+AVERAGE(B46:B57),0)</f>
        <v>0</v>
      </c>
      <c r="C58" s="5">
        <f t="shared" si="10"/>
        <v>0</v>
      </c>
      <c r="D58" s="5">
        <f t="shared" si="10"/>
        <v>0</v>
      </c>
      <c r="E58" s="5">
        <f t="shared" si="10"/>
        <v>0</v>
      </c>
      <c r="F58" s="5">
        <f>ROUND(+AVERAGE(F46:F57),0)</f>
        <v>1</v>
      </c>
      <c r="G58" s="5">
        <f t="shared" si="10"/>
        <v>0</v>
      </c>
      <c r="H58" s="5">
        <f>ROUND(+AVERAGE(H46:H57),0)</f>
        <v>0</v>
      </c>
      <c r="I58" s="5">
        <f t="shared" ref="I58:P58" si="11">ROUND(+AVERAGE(I46:I57),0)</f>
        <v>0</v>
      </c>
      <c r="J58" s="5">
        <f t="shared" si="11"/>
        <v>1</v>
      </c>
      <c r="K58" s="5">
        <f t="shared" si="11"/>
        <v>0</v>
      </c>
      <c r="L58" s="5">
        <f t="shared" si="11"/>
        <v>0</v>
      </c>
      <c r="M58" s="5">
        <f t="shared" si="11"/>
        <v>0</v>
      </c>
      <c r="N58" s="5">
        <f t="shared" si="11"/>
        <v>0</v>
      </c>
      <c r="O58" s="5">
        <f t="shared" si="11"/>
        <v>0</v>
      </c>
      <c r="P58" s="5">
        <f t="shared" si="11"/>
        <v>0</v>
      </c>
      <c r="Q58" s="235">
        <f>ROUND(SUM(B58:P58),0)</f>
        <v>2</v>
      </c>
      <c r="R58" s="61"/>
      <c r="S58" s="5"/>
      <c r="T58" s="281"/>
    </row>
    <row r="59" spans="1:20" ht="16.5" thickBot="1" x14ac:dyDescent="0.25">
      <c r="A59" s="388" t="s">
        <v>169</v>
      </c>
      <c r="B59" s="389"/>
      <c r="C59" s="389"/>
      <c r="D59" s="389"/>
      <c r="E59" s="389"/>
      <c r="F59" s="389"/>
      <c r="G59" s="389"/>
      <c r="H59" s="389"/>
      <c r="I59" s="389"/>
      <c r="J59" s="389"/>
      <c r="K59" s="389"/>
      <c r="L59" s="389"/>
      <c r="M59" s="389"/>
      <c r="N59" s="389"/>
      <c r="O59" s="389"/>
      <c r="P59" s="389"/>
      <c r="Q59" s="390"/>
      <c r="R59" s="329"/>
    </row>
    <row r="60" spans="1:20" ht="15.75" x14ac:dyDescent="0.2">
      <c r="A60" s="232">
        <f>A4</f>
        <v>42917</v>
      </c>
      <c r="B60" s="221">
        <v>2007</v>
      </c>
      <c r="C60" s="221">
        <v>757</v>
      </c>
      <c r="D60" s="221">
        <v>3650</v>
      </c>
      <c r="E60" s="221">
        <v>186</v>
      </c>
      <c r="F60" s="221">
        <v>11753</v>
      </c>
      <c r="G60" s="221">
        <v>4696</v>
      </c>
      <c r="H60" s="221">
        <v>24312</v>
      </c>
      <c r="I60" s="221">
        <v>9</v>
      </c>
      <c r="J60" s="221">
        <v>35668</v>
      </c>
      <c r="K60" s="221">
        <v>4735</v>
      </c>
      <c r="L60" s="221">
        <v>226</v>
      </c>
      <c r="M60" s="221">
        <v>606</v>
      </c>
      <c r="N60" s="221">
        <v>89</v>
      </c>
      <c r="O60" s="221">
        <v>0</v>
      </c>
      <c r="P60" s="221">
        <v>0</v>
      </c>
      <c r="Q60" s="233">
        <v>88694</v>
      </c>
      <c r="R60" s="61"/>
      <c r="S60" s="281"/>
      <c r="T60" s="281"/>
    </row>
    <row r="61" spans="1:20" ht="15.75" x14ac:dyDescent="0.2">
      <c r="A61" s="226">
        <f t="shared" ref="A61:A72" si="12">A5</f>
        <v>42948</v>
      </c>
      <c r="B61" s="3">
        <v>1980</v>
      </c>
      <c r="C61" s="3">
        <v>762</v>
      </c>
      <c r="D61" s="3">
        <v>3642</v>
      </c>
      <c r="E61" s="3">
        <v>196</v>
      </c>
      <c r="F61" s="3">
        <v>11787</v>
      </c>
      <c r="G61" s="3">
        <v>4921</v>
      </c>
      <c r="H61" s="3">
        <v>25412</v>
      </c>
      <c r="I61" s="3">
        <v>8</v>
      </c>
      <c r="J61" s="3">
        <v>35482</v>
      </c>
      <c r="K61" s="3">
        <v>4881</v>
      </c>
      <c r="L61" s="3">
        <v>222</v>
      </c>
      <c r="M61" s="3">
        <v>599</v>
      </c>
      <c r="N61" s="3">
        <v>82</v>
      </c>
      <c r="O61" s="3">
        <v>0</v>
      </c>
      <c r="P61" s="3">
        <v>0</v>
      </c>
      <c r="Q61" s="227">
        <v>89974</v>
      </c>
      <c r="R61" s="61"/>
      <c r="S61" s="281"/>
      <c r="T61" s="281"/>
    </row>
    <row r="62" spans="1:20" ht="15.75" x14ac:dyDescent="0.2">
      <c r="A62" s="226">
        <f t="shared" si="12"/>
        <v>42979</v>
      </c>
      <c r="B62" s="3">
        <v>1951</v>
      </c>
      <c r="C62" s="3">
        <v>752</v>
      </c>
      <c r="D62" s="3">
        <v>3588</v>
      </c>
      <c r="E62" s="3">
        <v>190</v>
      </c>
      <c r="F62" s="3">
        <v>11602</v>
      </c>
      <c r="G62" s="3">
        <v>4755</v>
      </c>
      <c r="H62" s="3">
        <v>25882</v>
      </c>
      <c r="I62" s="3">
        <v>7</v>
      </c>
      <c r="J62" s="3">
        <v>34801</v>
      </c>
      <c r="K62" s="3">
        <v>4738</v>
      </c>
      <c r="L62" s="3">
        <v>224</v>
      </c>
      <c r="M62" s="3">
        <v>627</v>
      </c>
      <c r="N62" s="3">
        <v>70</v>
      </c>
      <c r="O62" s="3">
        <v>0</v>
      </c>
      <c r="P62" s="3">
        <v>0</v>
      </c>
      <c r="Q62" s="227">
        <v>89187</v>
      </c>
      <c r="R62" s="61"/>
      <c r="S62" s="281"/>
      <c r="T62" s="281"/>
    </row>
    <row r="63" spans="1:20" ht="15.75" x14ac:dyDescent="0.2">
      <c r="A63" s="226">
        <f t="shared" si="12"/>
        <v>43009</v>
      </c>
      <c r="B63" s="3">
        <v>2536</v>
      </c>
      <c r="C63" s="3">
        <v>837</v>
      </c>
      <c r="D63" s="3">
        <v>3926</v>
      </c>
      <c r="E63" s="3">
        <v>220</v>
      </c>
      <c r="F63" s="3">
        <v>11451</v>
      </c>
      <c r="G63" s="3">
        <v>4118</v>
      </c>
      <c r="H63" s="3">
        <v>23958</v>
      </c>
      <c r="I63" s="3">
        <v>8</v>
      </c>
      <c r="J63" s="3">
        <v>33911</v>
      </c>
      <c r="K63" s="3">
        <v>4676</v>
      </c>
      <c r="L63" s="3">
        <v>235</v>
      </c>
      <c r="M63" s="3">
        <v>578</v>
      </c>
      <c r="N63" s="3">
        <v>96</v>
      </c>
      <c r="O63" s="3">
        <v>0</v>
      </c>
      <c r="P63" s="3">
        <v>0</v>
      </c>
      <c r="Q63" s="227">
        <v>86550</v>
      </c>
      <c r="R63" s="61"/>
    </row>
    <row r="64" spans="1:20" ht="15.75" x14ac:dyDescent="0.2">
      <c r="A64" s="226">
        <f t="shared" si="12"/>
        <v>43040</v>
      </c>
      <c r="B64" s="3">
        <v>2522</v>
      </c>
      <c r="C64" s="3">
        <v>848</v>
      </c>
      <c r="D64" s="3">
        <v>3913</v>
      </c>
      <c r="E64" s="3">
        <v>204</v>
      </c>
      <c r="F64" s="3">
        <v>11293</v>
      </c>
      <c r="G64" s="3">
        <v>3857</v>
      </c>
      <c r="H64" s="3">
        <v>23306</v>
      </c>
      <c r="I64" s="3">
        <v>8</v>
      </c>
      <c r="J64" s="3">
        <v>33214</v>
      </c>
      <c r="K64" s="3">
        <v>4639</v>
      </c>
      <c r="L64" s="3">
        <v>215</v>
      </c>
      <c r="M64" s="3">
        <v>539</v>
      </c>
      <c r="N64" s="3">
        <v>78</v>
      </c>
      <c r="O64" s="3">
        <v>0</v>
      </c>
      <c r="P64" s="3">
        <v>0</v>
      </c>
      <c r="Q64" s="227">
        <v>84636</v>
      </c>
      <c r="R64" s="61"/>
    </row>
    <row r="65" spans="1:20" ht="15.75" x14ac:dyDescent="0.2">
      <c r="A65" s="226">
        <f t="shared" si="12"/>
        <v>43070</v>
      </c>
      <c r="B65" s="3">
        <v>2492</v>
      </c>
      <c r="C65" s="3">
        <v>851</v>
      </c>
      <c r="D65" s="3">
        <v>3934</v>
      </c>
      <c r="E65" s="3">
        <v>246</v>
      </c>
      <c r="F65" s="3">
        <v>11459</v>
      </c>
      <c r="G65" s="3">
        <v>3939</v>
      </c>
      <c r="H65" s="3">
        <v>24350</v>
      </c>
      <c r="I65" s="3">
        <v>8</v>
      </c>
      <c r="J65" s="3">
        <v>33567</v>
      </c>
      <c r="K65" s="3">
        <v>4617</v>
      </c>
      <c r="L65" s="3">
        <v>212</v>
      </c>
      <c r="M65" s="3">
        <v>565</v>
      </c>
      <c r="N65" s="3">
        <v>86</v>
      </c>
      <c r="O65" s="3">
        <v>0</v>
      </c>
      <c r="P65" s="3">
        <v>0</v>
      </c>
      <c r="Q65" s="227">
        <v>86326</v>
      </c>
      <c r="R65" s="61"/>
    </row>
    <row r="66" spans="1:20" ht="15.75" x14ac:dyDescent="0.2">
      <c r="A66" s="226">
        <f t="shared" si="12"/>
        <v>43101</v>
      </c>
      <c r="B66" s="3"/>
      <c r="C66" s="3"/>
      <c r="D66" s="3"/>
      <c r="E66" s="3"/>
      <c r="F66" s="3"/>
      <c r="G66" s="3"/>
      <c r="H66" s="3"/>
      <c r="I66" s="3"/>
      <c r="J66" s="3"/>
      <c r="K66" s="3"/>
      <c r="L66" s="3"/>
      <c r="M66" s="3"/>
      <c r="N66" s="3"/>
      <c r="O66" s="3"/>
      <c r="P66" s="3"/>
      <c r="Q66" s="227"/>
      <c r="R66" s="61"/>
    </row>
    <row r="67" spans="1:20" ht="15.75" x14ac:dyDescent="0.2">
      <c r="A67" s="226">
        <f t="shared" si="12"/>
        <v>43132</v>
      </c>
      <c r="B67" s="3"/>
      <c r="C67" s="3"/>
      <c r="D67" s="3"/>
      <c r="E67" s="3"/>
      <c r="F67" s="3"/>
      <c r="G67" s="3"/>
      <c r="H67" s="3"/>
      <c r="I67" s="3"/>
      <c r="J67" s="3"/>
      <c r="K67" s="3"/>
      <c r="L67" s="3"/>
      <c r="M67" s="3"/>
      <c r="N67" s="3"/>
      <c r="O67" s="3"/>
      <c r="P67" s="3"/>
      <c r="Q67" s="227"/>
      <c r="R67" s="61"/>
    </row>
    <row r="68" spans="1:20" ht="15.75" x14ac:dyDescent="0.2">
      <c r="A68" s="226">
        <f t="shared" si="12"/>
        <v>43160</v>
      </c>
      <c r="B68" s="3"/>
      <c r="C68" s="3"/>
      <c r="D68" s="3"/>
      <c r="E68" s="3"/>
      <c r="F68" s="3"/>
      <c r="G68" s="3"/>
      <c r="H68" s="3"/>
      <c r="I68" s="3"/>
      <c r="J68" s="3"/>
      <c r="K68" s="3"/>
      <c r="L68" s="3"/>
      <c r="M68" s="3"/>
      <c r="N68" s="3"/>
      <c r="O68" s="3"/>
      <c r="P68" s="3"/>
      <c r="Q68" s="227"/>
      <c r="R68" s="61"/>
    </row>
    <row r="69" spans="1:20" ht="15.75" x14ac:dyDescent="0.2">
      <c r="A69" s="226">
        <f t="shared" si="12"/>
        <v>43191</v>
      </c>
      <c r="B69" s="3"/>
      <c r="C69" s="3"/>
      <c r="D69" s="3"/>
      <c r="E69" s="3"/>
      <c r="F69" s="3"/>
      <c r="G69" s="3"/>
      <c r="H69" s="3"/>
      <c r="I69" s="3"/>
      <c r="J69" s="3"/>
      <c r="K69" s="3"/>
      <c r="L69" s="3"/>
      <c r="M69" s="3"/>
      <c r="N69" s="3"/>
      <c r="O69" s="3"/>
      <c r="P69" s="3"/>
      <c r="Q69" s="227"/>
      <c r="R69" s="61"/>
    </row>
    <row r="70" spans="1:20" ht="15.75" x14ac:dyDescent="0.2">
      <c r="A70" s="226">
        <f t="shared" si="12"/>
        <v>43221</v>
      </c>
      <c r="B70" s="3"/>
      <c r="C70" s="3"/>
      <c r="D70" s="3"/>
      <c r="E70" s="3"/>
      <c r="F70" s="3"/>
      <c r="G70" s="3"/>
      <c r="H70" s="3"/>
      <c r="I70" s="3"/>
      <c r="J70" s="3"/>
      <c r="K70" s="3"/>
      <c r="L70" s="3"/>
      <c r="M70" s="3"/>
      <c r="N70" s="3"/>
      <c r="O70" s="3"/>
      <c r="P70" s="3"/>
      <c r="Q70" s="227"/>
      <c r="R70" s="61"/>
    </row>
    <row r="71" spans="1:20" ht="16.5" thickBot="1" x14ac:dyDescent="0.25">
      <c r="A71" s="276">
        <f t="shared" si="12"/>
        <v>43252</v>
      </c>
      <c r="B71" s="277"/>
      <c r="C71" s="277"/>
      <c r="D71" s="277"/>
      <c r="E71" s="277"/>
      <c r="F71" s="371"/>
      <c r="G71" s="371"/>
      <c r="H71" s="277"/>
      <c r="I71" s="277"/>
      <c r="J71" s="277"/>
      <c r="K71" s="277"/>
      <c r="L71" s="277"/>
      <c r="M71" s="277"/>
      <c r="N71" s="277"/>
      <c r="O71" s="277"/>
      <c r="P71" s="277"/>
      <c r="Q71" s="278"/>
      <c r="R71" s="61"/>
      <c r="T71" s="281"/>
    </row>
    <row r="72" spans="1:20" ht="17.25" thickTop="1" thickBot="1" x14ac:dyDescent="0.3">
      <c r="A72" s="234" t="str">
        <f t="shared" si="12"/>
        <v>FY 2017-18 Year-to-Date Average</v>
      </c>
      <c r="B72" s="5">
        <f>ROUND(+AVERAGE(B60:B71),0)</f>
        <v>2248</v>
      </c>
      <c r="C72" s="5">
        <f t="shared" ref="C72:G72" si="13">ROUND(+AVERAGE(C60:C71),0)</f>
        <v>801</v>
      </c>
      <c r="D72" s="5">
        <f>ROUND(+AVERAGE(D60:D71),0)</f>
        <v>3776</v>
      </c>
      <c r="E72" s="5">
        <f t="shared" si="13"/>
        <v>207</v>
      </c>
      <c r="F72" s="5">
        <f t="shared" si="13"/>
        <v>11558</v>
      </c>
      <c r="G72" s="5">
        <f t="shared" si="13"/>
        <v>4381</v>
      </c>
      <c r="H72" s="5">
        <f>ROUNDDOWN(+AVERAGE(H60:H71),0)</f>
        <v>24536</v>
      </c>
      <c r="I72" s="5">
        <f t="shared" ref="I72:M72" si="14">ROUND(+AVERAGE(I60:I71),0)</f>
        <v>8</v>
      </c>
      <c r="J72" s="5">
        <f>ROUNDDOWN(+AVERAGE(J60:J71),0)</f>
        <v>34440</v>
      </c>
      <c r="K72" s="5">
        <f>ROUND(+AVERAGE(K60:K71),0)</f>
        <v>4714</v>
      </c>
      <c r="L72" s="5">
        <f t="shared" si="14"/>
        <v>222</v>
      </c>
      <c r="M72" s="5">
        <f t="shared" si="14"/>
        <v>586</v>
      </c>
      <c r="N72" s="5">
        <f t="shared" ref="N72:O72" si="15">ROUND(+AVERAGE(N60:N71),0)</f>
        <v>84</v>
      </c>
      <c r="O72" s="5">
        <f t="shared" si="15"/>
        <v>0</v>
      </c>
      <c r="P72" s="5">
        <f>ROUND(+AVERAGE(P60:P71),0)</f>
        <v>0</v>
      </c>
      <c r="Q72" s="235">
        <f>ROUND(SUM(B72:P72),0)</f>
        <v>87561</v>
      </c>
      <c r="R72" s="61"/>
      <c r="S72" s="5"/>
      <c r="T72" s="327"/>
    </row>
    <row r="73" spans="1:20" ht="19.5" thickBot="1" x14ac:dyDescent="0.25">
      <c r="A73" s="388" t="s">
        <v>304</v>
      </c>
      <c r="B73" s="389"/>
      <c r="C73" s="389"/>
      <c r="D73" s="389"/>
      <c r="E73" s="389"/>
      <c r="F73" s="389"/>
      <c r="G73" s="389"/>
      <c r="H73" s="389"/>
      <c r="I73" s="389"/>
      <c r="J73" s="389"/>
      <c r="K73" s="389"/>
      <c r="L73" s="389"/>
      <c r="M73" s="389"/>
      <c r="N73" s="389"/>
      <c r="O73" s="389"/>
      <c r="P73" s="389"/>
      <c r="Q73" s="390"/>
      <c r="R73" s="329"/>
    </row>
    <row r="74" spans="1:20" ht="15.75" x14ac:dyDescent="0.2">
      <c r="A74" s="232">
        <f>A4</f>
        <v>42917</v>
      </c>
      <c r="B74" s="221">
        <v>2972</v>
      </c>
      <c r="C74" s="221">
        <v>389</v>
      </c>
      <c r="D74" s="221">
        <v>202</v>
      </c>
      <c r="E74" s="221">
        <v>0</v>
      </c>
      <c r="F74" s="221">
        <v>0</v>
      </c>
      <c r="G74" s="221">
        <v>0</v>
      </c>
      <c r="H74" s="221">
        <v>0</v>
      </c>
      <c r="I74" s="221">
        <v>0</v>
      </c>
      <c r="J74" s="221">
        <v>0</v>
      </c>
      <c r="K74" s="221">
        <v>0</v>
      </c>
      <c r="L74" s="221">
        <v>0</v>
      </c>
      <c r="M74" s="221">
        <v>0</v>
      </c>
      <c r="N74" s="221">
        <v>0</v>
      </c>
      <c r="O74" s="221">
        <v>0</v>
      </c>
      <c r="P74" s="221">
        <v>0</v>
      </c>
      <c r="Q74" s="233">
        <v>3563</v>
      </c>
      <c r="R74" s="61"/>
    </row>
    <row r="75" spans="1:20" ht="15.75" x14ac:dyDescent="0.2">
      <c r="A75" s="226">
        <f t="shared" ref="A75:A86" si="16">A5</f>
        <v>42948</v>
      </c>
      <c r="B75" s="3">
        <v>2992</v>
      </c>
      <c r="C75" s="3">
        <v>395</v>
      </c>
      <c r="D75" s="3">
        <v>202</v>
      </c>
      <c r="E75" s="3">
        <v>0</v>
      </c>
      <c r="F75" s="3">
        <v>0</v>
      </c>
      <c r="G75" s="3">
        <v>0</v>
      </c>
      <c r="H75" s="3">
        <v>0</v>
      </c>
      <c r="I75" s="3">
        <v>0</v>
      </c>
      <c r="J75" s="3">
        <v>0</v>
      </c>
      <c r="K75" s="3">
        <v>0</v>
      </c>
      <c r="L75" s="3">
        <v>0</v>
      </c>
      <c r="M75" s="3">
        <v>0</v>
      </c>
      <c r="N75" s="3">
        <v>0</v>
      </c>
      <c r="O75" s="3">
        <v>0</v>
      </c>
      <c r="P75" s="3">
        <v>0</v>
      </c>
      <c r="Q75" s="227">
        <v>3589</v>
      </c>
      <c r="R75" s="61"/>
    </row>
    <row r="76" spans="1:20" ht="15.75" x14ac:dyDescent="0.2">
      <c r="A76" s="226">
        <f t="shared" si="16"/>
        <v>42979</v>
      </c>
      <c r="B76" s="3">
        <v>2996</v>
      </c>
      <c r="C76" s="3">
        <v>403</v>
      </c>
      <c r="D76" s="3">
        <v>200</v>
      </c>
      <c r="E76" s="3">
        <v>0</v>
      </c>
      <c r="F76" s="3">
        <v>0</v>
      </c>
      <c r="G76" s="3">
        <v>0</v>
      </c>
      <c r="H76" s="3">
        <v>0</v>
      </c>
      <c r="I76" s="3">
        <v>0</v>
      </c>
      <c r="J76" s="3">
        <v>0</v>
      </c>
      <c r="K76" s="3">
        <v>0</v>
      </c>
      <c r="L76" s="3">
        <v>0</v>
      </c>
      <c r="M76" s="3">
        <v>0</v>
      </c>
      <c r="N76" s="3">
        <v>0</v>
      </c>
      <c r="O76" s="3">
        <v>0</v>
      </c>
      <c r="P76" s="3">
        <v>0</v>
      </c>
      <c r="Q76" s="227">
        <v>3599</v>
      </c>
      <c r="R76" s="61"/>
    </row>
    <row r="77" spans="1:20" ht="15.75" x14ac:dyDescent="0.2">
      <c r="A77" s="226">
        <f t="shared" si="16"/>
        <v>43009</v>
      </c>
      <c r="B77" s="3">
        <v>2986</v>
      </c>
      <c r="C77" s="3">
        <v>395</v>
      </c>
      <c r="D77" s="3">
        <v>198</v>
      </c>
      <c r="E77" s="3">
        <v>0</v>
      </c>
      <c r="F77" s="3">
        <v>0</v>
      </c>
      <c r="G77" s="3">
        <v>0</v>
      </c>
      <c r="H77" s="3">
        <v>0</v>
      </c>
      <c r="I77" s="3">
        <v>0</v>
      </c>
      <c r="J77" s="3">
        <v>0</v>
      </c>
      <c r="K77" s="3">
        <v>0</v>
      </c>
      <c r="L77" s="3">
        <v>0</v>
      </c>
      <c r="M77" s="3">
        <v>0</v>
      </c>
      <c r="N77" s="3">
        <v>0</v>
      </c>
      <c r="O77" s="3">
        <v>0</v>
      </c>
      <c r="P77" s="3">
        <v>0</v>
      </c>
      <c r="Q77" s="227">
        <v>3579</v>
      </c>
      <c r="R77" s="61"/>
    </row>
    <row r="78" spans="1:20" ht="15.75" x14ac:dyDescent="0.2">
      <c r="A78" s="226">
        <f t="shared" si="16"/>
        <v>43040</v>
      </c>
      <c r="B78" s="3">
        <v>3029</v>
      </c>
      <c r="C78" s="3">
        <v>407</v>
      </c>
      <c r="D78" s="3">
        <v>200</v>
      </c>
      <c r="E78" s="3">
        <v>0</v>
      </c>
      <c r="F78" s="3">
        <v>0</v>
      </c>
      <c r="G78" s="3">
        <v>0</v>
      </c>
      <c r="H78" s="3">
        <v>0</v>
      </c>
      <c r="I78" s="3">
        <v>0</v>
      </c>
      <c r="J78" s="3">
        <v>0</v>
      </c>
      <c r="K78" s="3">
        <v>0</v>
      </c>
      <c r="L78" s="3">
        <v>0</v>
      </c>
      <c r="M78" s="3">
        <v>0</v>
      </c>
      <c r="N78" s="3">
        <v>0</v>
      </c>
      <c r="O78" s="3">
        <v>0</v>
      </c>
      <c r="P78" s="3">
        <v>0</v>
      </c>
      <c r="Q78" s="227">
        <v>3636</v>
      </c>
      <c r="R78" s="61"/>
    </row>
    <row r="79" spans="1:20" ht="15.75" x14ac:dyDescent="0.2">
      <c r="A79" s="226">
        <f t="shared" si="16"/>
        <v>43070</v>
      </c>
      <c r="B79" s="3">
        <v>3064</v>
      </c>
      <c r="C79" s="3">
        <v>418</v>
      </c>
      <c r="D79" s="3">
        <v>199</v>
      </c>
      <c r="E79" s="3">
        <v>0</v>
      </c>
      <c r="F79" s="3">
        <v>0</v>
      </c>
      <c r="G79" s="3">
        <v>0</v>
      </c>
      <c r="H79" s="3">
        <v>0</v>
      </c>
      <c r="I79" s="3">
        <v>0</v>
      </c>
      <c r="J79" s="3">
        <v>0</v>
      </c>
      <c r="K79" s="3">
        <v>0</v>
      </c>
      <c r="L79" s="3">
        <v>0</v>
      </c>
      <c r="M79" s="3">
        <v>0</v>
      </c>
      <c r="N79" s="3">
        <v>0</v>
      </c>
      <c r="O79" s="3">
        <v>0</v>
      </c>
      <c r="P79" s="3">
        <v>0</v>
      </c>
      <c r="Q79" s="227">
        <v>3681</v>
      </c>
      <c r="R79" s="61"/>
    </row>
    <row r="80" spans="1:20" ht="15.75" x14ac:dyDescent="0.2">
      <c r="A80" s="226">
        <f t="shared" si="16"/>
        <v>43101</v>
      </c>
      <c r="B80" s="3"/>
      <c r="C80" s="3"/>
      <c r="D80" s="3"/>
      <c r="E80" s="3"/>
      <c r="F80" s="3"/>
      <c r="G80" s="3"/>
      <c r="H80" s="3"/>
      <c r="I80" s="3"/>
      <c r="J80" s="3"/>
      <c r="K80" s="3"/>
      <c r="L80" s="3"/>
      <c r="M80" s="3"/>
      <c r="N80" s="3"/>
      <c r="O80" s="3"/>
      <c r="P80" s="3"/>
      <c r="Q80" s="227"/>
      <c r="R80" s="61"/>
    </row>
    <row r="81" spans="1:20" ht="15.75" x14ac:dyDescent="0.2">
      <c r="A81" s="226">
        <f t="shared" si="16"/>
        <v>43132</v>
      </c>
      <c r="B81" s="3"/>
      <c r="C81" s="3"/>
      <c r="D81" s="3"/>
      <c r="E81" s="3"/>
      <c r="F81" s="3"/>
      <c r="G81" s="3"/>
      <c r="H81" s="3"/>
      <c r="I81" s="3"/>
      <c r="J81" s="3"/>
      <c r="K81" s="3"/>
      <c r="L81" s="3"/>
      <c r="M81" s="3"/>
      <c r="N81" s="3"/>
      <c r="O81" s="3"/>
      <c r="P81" s="3"/>
      <c r="Q81" s="227"/>
      <c r="R81" s="61"/>
    </row>
    <row r="82" spans="1:20" ht="15.75" x14ac:dyDescent="0.2">
      <c r="A82" s="226">
        <f t="shared" si="16"/>
        <v>43160</v>
      </c>
      <c r="B82" s="581"/>
      <c r="C82" s="581"/>
      <c r="D82" s="581"/>
      <c r="E82" s="581"/>
      <c r="F82" s="581"/>
      <c r="G82" s="581"/>
      <c r="H82" s="581"/>
      <c r="I82" s="581"/>
      <c r="J82" s="581"/>
      <c r="K82" s="581"/>
      <c r="L82" s="581"/>
      <c r="M82" s="581"/>
      <c r="N82" s="581"/>
      <c r="O82" s="581"/>
      <c r="P82" s="581"/>
      <c r="Q82" s="582"/>
      <c r="R82" s="61"/>
    </row>
    <row r="83" spans="1:20" ht="15.75" x14ac:dyDescent="0.2">
      <c r="A83" s="226">
        <f t="shared" si="16"/>
        <v>43191</v>
      </c>
      <c r="B83" s="581"/>
      <c r="C83" s="581"/>
      <c r="D83" s="581"/>
      <c r="E83" s="581"/>
      <c r="F83" s="581"/>
      <c r="G83" s="581"/>
      <c r="H83" s="581"/>
      <c r="I83" s="581"/>
      <c r="J83" s="581"/>
      <c r="K83" s="581"/>
      <c r="L83" s="581"/>
      <c r="M83" s="581"/>
      <c r="N83" s="581"/>
      <c r="O83" s="581"/>
      <c r="P83" s="581"/>
      <c r="Q83" s="582"/>
      <c r="R83" s="61"/>
    </row>
    <row r="84" spans="1:20" ht="15.75" x14ac:dyDescent="0.2">
      <c r="A84" s="226">
        <f t="shared" si="16"/>
        <v>43221</v>
      </c>
      <c r="B84" s="581"/>
      <c r="C84" s="581"/>
      <c r="D84" s="581"/>
      <c r="E84" s="581"/>
      <c r="F84" s="581"/>
      <c r="G84" s="581"/>
      <c r="H84" s="581"/>
      <c r="I84" s="581"/>
      <c r="J84" s="581"/>
      <c r="K84" s="581"/>
      <c r="L84" s="581"/>
      <c r="M84" s="581"/>
      <c r="N84" s="581"/>
      <c r="O84" s="581"/>
      <c r="P84" s="581"/>
      <c r="Q84" s="582"/>
      <c r="R84" s="61"/>
    </row>
    <row r="85" spans="1:20" ht="16.5" thickBot="1" x14ac:dyDescent="0.25">
      <c r="A85" s="276">
        <f t="shared" si="16"/>
        <v>43252</v>
      </c>
      <c r="B85" s="602"/>
      <c r="C85" s="602"/>
      <c r="D85" s="602"/>
      <c r="E85" s="602"/>
      <c r="F85" s="602"/>
      <c r="G85" s="602"/>
      <c r="H85" s="602"/>
      <c r="I85" s="602"/>
      <c r="J85" s="602"/>
      <c r="K85" s="602"/>
      <c r="L85" s="602"/>
      <c r="M85" s="602"/>
      <c r="N85" s="602"/>
      <c r="O85" s="602"/>
      <c r="P85" s="602"/>
      <c r="Q85" s="603"/>
      <c r="R85" s="61"/>
      <c r="S85" s="281"/>
      <c r="T85" s="281"/>
    </row>
    <row r="86" spans="1:20" ht="17.25" thickTop="1" thickBot="1" x14ac:dyDescent="0.3">
      <c r="A86" s="234" t="str">
        <f t="shared" si="16"/>
        <v>FY 2017-18 Year-to-Date Average</v>
      </c>
      <c r="B86" s="5">
        <f>ROUND(+AVERAGE(B74:B85),0)</f>
        <v>3007</v>
      </c>
      <c r="C86" s="5">
        <f>ROUND(+AVERAGE(C74:C85),0)</f>
        <v>401</v>
      </c>
      <c r="D86" s="5">
        <f t="shared" ref="D86:P86" si="17">ROUND(+AVERAGE(D74:D85),0)</f>
        <v>200</v>
      </c>
      <c r="E86" s="5">
        <f t="shared" si="17"/>
        <v>0</v>
      </c>
      <c r="F86" s="5">
        <f t="shared" si="17"/>
        <v>0</v>
      </c>
      <c r="G86" s="5">
        <f t="shared" si="17"/>
        <v>0</v>
      </c>
      <c r="H86" s="5">
        <f t="shared" si="17"/>
        <v>0</v>
      </c>
      <c r="I86" s="5">
        <f t="shared" si="17"/>
        <v>0</v>
      </c>
      <c r="J86" s="5">
        <f t="shared" si="17"/>
        <v>0</v>
      </c>
      <c r="K86" s="5">
        <f t="shared" si="17"/>
        <v>0</v>
      </c>
      <c r="L86" s="5">
        <f t="shared" si="17"/>
        <v>0</v>
      </c>
      <c r="M86" s="5">
        <f t="shared" si="17"/>
        <v>0</v>
      </c>
      <c r="N86" s="5">
        <f t="shared" si="17"/>
        <v>0</v>
      </c>
      <c r="O86" s="5">
        <f t="shared" si="17"/>
        <v>0</v>
      </c>
      <c r="P86" s="5">
        <f t="shared" si="17"/>
        <v>0</v>
      </c>
      <c r="Q86" s="235">
        <f>ROUND(SUM(B86:P86),0)</f>
        <v>3608</v>
      </c>
      <c r="R86" s="61"/>
      <c r="S86" s="5"/>
    </row>
    <row r="87" spans="1:20" ht="62.25" hidden="1" customHeight="1" thickBot="1" x14ac:dyDescent="0.25">
      <c r="A87" s="273"/>
      <c r="B87" s="274" t="s">
        <v>131</v>
      </c>
      <c r="C87" s="274" t="s">
        <v>132</v>
      </c>
      <c r="D87" s="274" t="s">
        <v>133</v>
      </c>
      <c r="E87" s="274" t="s">
        <v>104</v>
      </c>
      <c r="F87" s="274" t="s">
        <v>134</v>
      </c>
      <c r="G87" s="274" t="s">
        <v>135</v>
      </c>
      <c r="H87" s="274" t="s">
        <v>136</v>
      </c>
      <c r="I87" s="274" t="s">
        <v>19</v>
      </c>
      <c r="J87" s="274" t="s">
        <v>141</v>
      </c>
      <c r="K87" s="274" t="s">
        <v>137</v>
      </c>
      <c r="L87" s="274" t="s">
        <v>20</v>
      </c>
      <c r="M87" s="274" t="s">
        <v>138</v>
      </c>
      <c r="N87" s="274" t="s">
        <v>139</v>
      </c>
      <c r="O87" s="274" t="s">
        <v>140</v>
      </c>
      <c r="P87" s="274" t="s">
        <v>32</v>
      </c>
      <c r="Q87" s="275" t="s">
        <v>0</v>
      </c>
      <c r="R87" s="328"/>
    </row>
    <row r="88" spans="1:20" ht="19.5" thickBot="1" x14ac:dyDescent="0.25">
      <c r="A88" s="388" t="s">
        <v>303</v>
      </c>
      <c r="B88" s="389"/>
      <c r="C88" s="389"/>
      <c r="D88" s="389"/>
      <c r="E88" s="389"/>
      <c r="F88" s="389"/>
      <c r="G88" s="389"/>
      <c r="H88" s="389"/>
      <c r="I88" s="389"/>
      <c r="J88" s="389"/>
      <c r="K88" s="389"/>
      <c r="L88" s="389"/>
      <c r="M88" s="389"/>
      <c r="N88" s="389"/>
      <c r="O88" s="389"/>
      <c r="P88" s="389"/>
      <c r="Q88" s="390"/>
      <c r="R88" s="329"/>
    </row>
    <row r="89" spans="1:20" ht="15.75" x14ac:dyDescent="0.2">
      <c r="A89" s="232">
        <f>A4</f>
        <v>42917</v>
      </c>
      <c r="B89" s="221">
        <v>25961</v>
      </c>
      <c r="C89" s="221">
        <v>8308</v>
      </c>
      <c r="D89" s="221">
        <v>53727</v>
      </c>
      <c r="E89" s="221">
        <v>4373</v>
      </c>
      <c r="F89" s="221">
        <v>142783</v>
      </c>
      <c r="G89" s="221">
        <v>58224</v>
      </c>
      <c r="H89" s="221">
        <v>294901</v>
      </c>
      <c r="I89" s="221">
        <v>79</v>
      </c>
      <c r="J89" s="221">
        <v>367067</v>
      </c>
      <c r="K89" s="221">
        <v>50403</v>
      </c>
      <c r="L89" s="221">
        <v>18825</v>
      </c>
      <c r="M89" s="221">
        <v>7804</v>
      </c>
      <c r="N89" s="221">
        <v>1335</v>
      </c>
      <c r="O89" s="221">
        <v>0</v>
      </c>
      <c r="P89" s="221">
        <v>0</v>
      </c>
      <c r="Q89" s="233">
        <v>1033790</v>
      </c>
      <c r="R89" s="61"/>
    </row>
    <row r="90" spans="1:20" ht="15.75" x14ac:dyDescent="0.2">
      <c r="A90" s="226">
        <f t="shared" ref="A90:A101" si="18">A5</f>
        <v>42948</v>
      </c>
      <c r="B90" s="3">
        <v>26293</v>
      </c>
      <c r="C90" s="3">
        <v>8455</v>
      </c>
      <c r="D90" s="3">
        <v>54489</v>
      </c>
      <c r="E90" s="3">
        <v>4586</v>
      </c>
      <c r="F90" s="3">
        <v>147503</v>
      </c>
      <c r="G90" s="3">
        <v>63458</v>
      </c>
      <c r="H90" s="3">
        <v>305205</v>
      </c>
      <c r="I90" s="3">
        <v>77</v>
      </c>
      <c r="J90" s="3">
        <v>376013</v>
      </c>
      <c r="K90" s="3">
        <v>53119</v>
      </c>
      <c r="L90" s="3">
        <v>19364</v>
      </c>
      <c r="M90" s="3">
        <v>7543</v>
      </c>
      <c r="N90" s="3">
        <v>1389</v>
      </c>
      <c r="O90" s="3">
        <v>1</v>
      </c>
      <c r="P90" s="3">
        <v>0</v>
      </c>
      <c r="Q90" s="227">
        <v>1067495</v>
      </c>
      <c r="R90" s="61"/>
    </row>
    <row r="91" spans="1:20" ht="15.75" x14ac:dyDescent="0.2">
      <c r="A91" s="226">
        <f t="shared" si="18"/>
        <v>42979</v>
      </c>
      <c r="B91" s="3">
        <v>26353</v>
      </c>
      <c r="C91" s="3">
        <v>8395</v>
      </c>
      <c r="D91" s="3">
        <v>54163</v>
      </c>
      <c r="E91" s="3">
        <v>4624</v>
      </c>
      <c r="F91" s="3">
        <v>145592</v>
      </c>
      <c r="G91" s="3">
        <v>62565</v>
      </c>
      <c r="H91" s="3">
        <v>305795</v>
      </c>
      <c r="I91" s="3">
        <v>74</v>
      </c>
      <c r="J91" s="3">
        <v>367810</v>
      </c>
      <c r="K91" s="3">
        <v>52418</v>
      </c>
      <c r="L91" s="3">
        <v>19419</v>
      </c>
      <c r="M91" s="3">
        <v>6868</v>
      </c>
      <c r="N91" s="3">
        <v>1366</v>
      </c>
      <c r="O91" s="3">
        <v>2</v>
      </c>
      <c r="P91" s="3">
        <v>0</v>
      </c>
      <c r="Q91" s="227">
        <v>1055444</v>
      </c>
      <c r="R91" s="61"/>
    </row>
    <row r="92" spans="1:20" ht="15.75" x14ac:dyDescent="0.2">
      <c r="A92" s="226">
        <f t="shared" si="18"/>
        <v>43009</v>
      </c>
      <c r="B92" s="3">
        <v>26146</v>
      </c>
      <c r="C92" s="3">
        <v>8394</v>
      </c>
      <c r="D92" s="3">
        <v>53846</v>
      </c>
      <c r="E92" s="3">
        <v>4769</v>
      </c>
      <c r="F92" s="3">
        <v>143011</v>
      </c>
      <c r="G92" s="3">
        <v>54992</v>
      </c>
      <c r="H92" s="3">
        <v>282482</v>
      </c>
      <c r="I92" s="3">
        <v>82</v>
      </c>
      <c r="J92" s="3">
        <v>356280</v>
      </c>
      <c r="K92" s="3">
        <v>51717</v>
      </c>
      <c r="L92" s="3">
        <v>19562</v>
      </c>
      <c r="M92" s="3">
        <v>6597</v>
      </c>
      <c r="N92" s="3">
        <v>1419</v>
      </c>
      <c r="O92" s="3">
        <v>2</v>
      </c>
      <c r="P92" s="3">
        <v>0</v>
      </c>
      <c r="Q92" s="227">
        <v>1009299</v>
      </c>
      <c r="R92" s="61"/>
    </row>
    <row r="93" spans="1:20" ht="15.75" x14ac:dyDescent="0.2">
      <c r="A93" s="226">
        <f t="shared" si="18"/>
        <v>43040</v>
      </c>
      <c r="B93" s="3">
        <v>26260</v>
      </c>
      <c r="C93" s="3">
        <v>8421</v>
      </c>
      <c r="D93" s="3">
        <v>53686</v>
      </c>
      <c r="E93" s="3">
        <v>4885</v>
      </c>
      <c r="F93" s="3">
        <v>141916</v>
      </c>
      <c r="G93" s="3">
        <v>51894</v>
      </c>
      <c r="H93" s="3">
        <v>277060</v>
      </c>
      <c r="I93" s="3">
        <v>88</v>
      </c>
      <c r="J93" s="3">
        <v>349908</v>
      </c>
      <c r="K93" s="3">
        <v>50725</v>
      </c>
      <c r="L93" s="3">
        <v>19679</v>
      </c>
      <c r="M93" s="3">
        <v>6212</v>
      </c>
      <c r="N93" s="3">
        <v>1410</v>
      </c>
      <c r="O93" s="3">
        <v>1</v>
      </c>
      <c r="P93" s="3">
        <v>0</v>
      </c>
      <c r="Q93" s="227">
        <v>992145</v>
      </c>
      <c r="R93" s="61"/>
    </row>
    <row r="94" spans="1:20" ht="15.75" x14ac:dyDescent="0.2">
      <c r="A94" s="226">
        <f t="shared" si="18"/>
        <v>43070</v>
      </c>
      <c r="B94" s="3">
        <v>26458</v>
      </c>
      <c r="C94" s="3">
        <v>8512</v>
      </c>
      <c r="D94" s="3">
        <v>54356</v>
      </c>
      <c r="E94" s="3">
        <v>5165</v>
      </c>
      <c r="F94" s="3">
        <v>143981</v>
      </c>
      <c r="G94" s="3">
        <v>54114</v>
      </c>
      <c r="H94" s="3">
        <v>278067</v>
      </c>
      <c r="I94" s="3">
        <v>88</v>
      </c>
      <c r="J94" s="3">
        <v>357050</v>
      </c>
      <c r="K94" s="3">
        <v>51943</v>
      </c>
      <c r="L94" s="3">
        <v>19917</v>
      </c>
      <c r="M94" s="3">
        <v>6051</v>
      </c>
      <c r="N94" s="3">
        <v>1448</v>
      </c>
      <c r="O94" s="3">
        <v>0</v>
      </c>
      <c r="P94" s="3">
        <v>0</v>
      </c>
      <c r="Q94" s="227">
        <v>1007150</v>
      </c>
      <c r="R94" s="61"/>
    </row>
    <row r="95" spans="1:20" ht="15.75" x14ac:dyDescent="0.2">
      <c r="A95" s="226">
        <f t="shared" si="18"/>
        <v>43101</v>
      </c>
      <c r="B95" s="3"/>
      <c r="C95" s="3"/>
      <c r="D95" s="3"/>
      <c r="E95" s="3"/>
      <c r="F95" s="3"/>
      <c r="G95" s="3"/>
      <c r="H95" s="3"/>
      <c r="I95" s="3"/>
      <c r="J95" s="3"/>
      <c r="K95" s="3"/>
      <c r="L95" s="3"/>
      <c r="M95" s="3"/>
      <c r="N95" s="3"/>
      <c r="O95" s="3"/>
      <c r="P95" s="3"/>
      <c r="Q95" s="227"/>
      <c r="R95" s="61"/>
    </row>
    <row r="96" spans="1:20" ht="15.75" x14ac:dyDescent="0.2">
      <c r="A96" s="226">
        <f t="shared" si="18"/>
        <v>43132</v>
      </c>
      <c r="B96" s="3"/>
      <c r="C96" s="3"/>
      <c r="D96" s="3"/>
      <c r="E96" s="3"/>
      <c r="F96" s="3"/>
      <c r="G96" s="3"/>
      <c r="H96" s="3"/>
      <c r="I96" s="3"/>
      <c r="J96" s="3"/>
      <c r="K96" s="3"/>
      <c r="L96" s="3"/>
      <c r="M96" s="3"/>
      <c r="N96" s="3"/>
      <c r="O96" s="3"/>
      <c r="P96" s="3"/>
      <c r="Q96" s="227"/>
      <c r="R96" s="61"/>
    </row>
    <row r="97" spans="1:20" ht="15.75" x14ac:dyDescent="0.2">
      <c r="A97" s="226">
        <f t="shared" si="18"/>
        <v>43160</v>
      </c>
      <c r="B97" s="3"/>
      <c r="C97" s="3"/>
      <c r="D97" s="3"/>
      <c r="E97" s="3"/>
      <c r="F97" s="3"/>
      <c r="G97" s="3"/>
      <c r="H97" s="3"/>
      <c r="I97" s="3"/>
      <c r="J97" s="3"/>
      <c r="K97" s="3"/>
      <c r="L97" s="3"/>
      <c r="M97" s="3"/>
      <c r="N97" s="3"/>
      <c r="O97" s="3"/>
      <c r="P97" s="3"/>
      <c r="Q97" s="227"/>
      <c r="R97" s="61"/>
    </row>
    <row r="98" spans="1:20" ht="15.75" x14ac:dyDescent="0.2">
      <c r="A98" s="226">
        <f t="shared" si="18"/>
        <v>43191</v>
      </c>
      <c r="B98" s="3"/>
      <c r="C98" s="3"/>
      <c r="D98" s="3"/>
      <c r="E98" s="3"/>
      <c r="F98" s="3"/>
      <c r="G98" s="3"/>
      <c r="H98" s="3"/>
      <c r="I98" s="3"/>
      <c r="J98" s="3"/>
      <c r="K98" s="3"/>
      <c r="L98" s="3"/>
      <c r="M98" s="3"/>
      <c r="N98" s="3"/>
      <c r="O98" s="3"/>
      <c r="P98" s="3"/>
      <c r="Q98" s="227"/>
      <c r="R98" s="61"/>
    </row>
    <row r="99" spans="1:20" ht="15.75" x14ac:dyDescent="0.2">
      <c r="A99" s="226">
        <f t="shared" si="18"/>
        <v>43221</v>
      </c>
      <c r="B99" s="3"/>
      <c r="C99" s="3"/>
      <c r="D99" s="3"/>
      <c r="E99" s="3"/>
      <c r="F99" s="3"/>
      <c r="G99" s="3"/>
      <c r="H99" s="3"/>
      <c r="I99" s="3"/>
      <c r="J99" s="3"/>
      <c r="K99" s="3"/>
      <c r="L99" s="3"/>
      <c r="M99" s="3"/>
      <c r="N99" s="3"/>
      <c r="O99" s="3"/>
      <c r="P99" s="3"/>
      <c r="Q99" s="227"/>
      <c r="R99" s="61"/>
    </row>
    <row r="100" spans="1:20" ht="16.5" thickBot="1" x14ac:dyDescent="0.25">
      <c r="A100" s="276">
        <f t="shared" si="18"/>
        <v>43252</v>
      </c>
      <c r="B100" s="277"/>
      <c r="C100" s="277"/>
      <c r="D100" s="277"/>
      <c r="E100" s="277"/>
      <c r="F100" s="277"/>
      <c r="G100" s="277"/>
      <c r="H100" s="277"/>
      <c r="I100" s="277"/>
      <c r="J100" s="277"/>
      <c r="K100" s="277"/>
      <c r="L100" s="277"/>
      <c r="M100" s="277"/>
      <c r="N100" s="277"/>
      <c r="O100" s="277"/>
      <c r="P100" s="277"/>
      <c r="Q100" s="278"/>
      <c r="R100" s="61"/>
      <c r="T100" s="281"/>
    </row>
    <row r="101" spans="1:20" ht="17.25" thickTop="1" thickBot="1" x14ac:dyDescent="0.3">
      <c r="A101" s="234" t="str">
        <f t="shared" si="18"/>
        <v>FY 2017-18 Year-to-Date Average</v>
      </c>
      <c r="B101" s="5">
        <f t="shared" ref="B101:H101" si="19">ROUND(+AVERAGE(B89:B100),0)</f>
        <v>26245</v>
      </c>
      <c r="C101" s="5">
        <f t="shared" si="19"/>
        <v>8414</v>
      </c>
      <c r="D101" s="5">
        <f t="shared" si="19"/>
        <v>54045</v>
      </c>
      <c r="E101" s="5">
        <f t="shared" si="19"/>
        <v>4734</v>
      </c>
      <c r="F101" s="5">
        <f t="shared" si="19"/>
        <v>144131</v>
      </c>
      <c r="G101" s="5">
        <f t="shared" si="19"/>
        <v>57541</v>
      </c>
      <c r="H101" s="5">
        <f t="shared" si="19"/>
        <v>290585</v>
      </c>
      <c r="I101" s="5">
        <f t="shared" ref="I101:O101" si="20">ROUND(+AVERAGE(I89:I100),0)</f>
        <v>81</v>
      </c>
      <c r="J101" s="5">
        <f>ROUNDDOWN(+AVERAGE(J89:J100),0)</f>
        <v>362354</v>
      </c>
      <c r="K101" s="5">
        <f>ROUND(+AVERAGE(K89:K100),0)</f>
        <v>51721</v>
      </c>
      <c r="L101" s="5">
        <f t="shared" si="20"/>
        <v>19461</v>
      </c>
      <c r="M101" s="5">
        <f>ROUND(+AVERAGE(M89:M100),0)</f>
        <v>6846</v>
      </c>
      <c r="N101" s="5">
        <f>ROUND(+AVERAGE(N89:N100),0)</f>
        <v>1395</v>
      </c>
      <c r="O101" s="5">
        <f t="shared" si="20"/>
        <v>1</v>
      </c>
      <c r="P101" s="5">
        <f>ROUND(+AVERAGE(P89:P100),0)</f>
        <v>0</v>
      </c>
      <c r="Q101" s="235">
        <f>ROUND(SUM(B101:P101),0)</f>
        <v>1027554</v>
      </c>
      <c r="R101" s="61"/>
      <c r="S101" s="5"/>
      <c r="T101" s="327"/>
    </row>
    <row r="102" spans="1:20" ht="13.5" hidden="1" thickBot="1" x14ac:dyDescent="0.25">
      <c r="A102" s="528"/>
      <c r="B102" s="329"/>
      <c r="C102" s="329"/>
      <c r="D102" s="329"/>
      <c r="E102" s="329"/>
      <c r="F102" s="329"/>
      <c r="G102" s="329"/>
      <c r="H102" s="329"/>
      <c r="I102" s="329"/>
      <c r="J102" s="329"/>
      <c r="K102" s="329"/>
      <c r="L102" s="329"/>
      <c r="M102" s="329"/>
      <c r="N102" s="329"/>
      <c r="O102" s="329"/>
      <c r="P102" s="329"/>
      <c r="Q102" s="529"/>
      <c r="R102" s="329"/>
    </row>
    <row r="103" spans="1:20" ht="13.5" hidden="1" thickBot="1" x14ac:dyDescent="0.25">
      <c r="A103" s="528"/>
      <c r="B103" s="329"/>
      <c r="C103" s="329"/>
      <c r="D103" s="329"/>
      <c r="E103" s="329"/>
      <c r="F103" s="329"/>
      <c r="G103" s="329"/>
      <c r="H103" s="329"/>
      <c r="I103" s="329"/>
      <c r="J103" s="329"/>
      <c r="K103" s="329"/>
      <c r="L103" s="329"/>
      <c r="M103" s="329"/>
      <c r="N103" s="329"/>
      <c r="O103" s="329"/>
      <c r="P103" s="329"/>
      <c r="Q103" s="529"/>
    </row>
    <row r="104" spans="1:20" ht="13.5" hidden="1" thickBot="1" x14ac:dyDescent="0.25">
      <c r="A104" s="528"/>
      <c r="B104" s="329"/>
      <c r="C104" s="329"/>
      <c r="D104" s="329"/>
      <c r="E104" s="329"/>
      <c r="F104" s="329"/>
      <c r="G104" s="329"/>
      <c r="H104" s="329"/>
      <c r="I104" s="329"/>
      <c r="J104" s="329"/>
      <c r="K104" s="329"/>
      <c r="L104" s="329"/>
      <c r="M104" s="329"/>
      <c r="N104" s="329"/>
      <c r="O104" s="329"/>
      <c r="P104" s="329"/>
      <c r="Q104" s="529"/>
    </row>
    <row r="105" spans="1:20" ht="13.5" hidden="1" thickBot="1" x14ac:dyDescent="0.25">
      <c r="A105" s="528"/>
      <c r="B105" s="329"/>
      <c r="C105" s="329"/>
      <c r="D105" s="329"/>
      <c r="E105" s="329"/>
      <c r="F105" s="329"/>
      <c r="G105" s="329"/>
      <c r="H105" s="329"/>
      <c r="I105" s="329"/>
      <c r="J105" s="329"/>
      <c r="K105" s="329"/>
      <c r="L105" s="329"/>
      <c r="M105" s="329"/>
      <c r="N105" s="329"/>
      <c r="O105" s="329"/>
      <c r="P105" s="329"/>
      <c r="Q105" s="529"/>
    </row>
    <row r="106" spans="1:20" ht="13.5" hidden="1" thickBot="1" x14ac:dyDescent="0.25">
      <c r="A106" s="528"/>
      <c r="B106" s="329"/>
      <c r="C106" s="329"/>
      <c r="D106" s="329"/>
      <c r="E106" s="329"/>
      <c r="F106" s="329"/>
      <c r="G106" s="329"/>
      <c r="H106" s="329"/>
      <c r="I106" s="329"/>
      <c r="J106" s="329"/>
      <c r="K106" s="329"/>
      <c r="L106" s="329"/>
      <c r="M106" s="329"/>
      <c r="N106" s="329"/>
      <c r="O106" s="329"/>
      <c r="P106" s="329"/>
      <c r="Q106" s="529"/>
    </row>
    <row r="107" spans="1:20" ht="13.5" hidden="1" thickBot="1" x14ac:dyDescent="0.25">
      <c r="A107" s="528"/>
      <c r="B107" s="329"/>
      <c r="C107" s="329"/>
      <c r="D107" s="329"/>
      <c r="E107" s="329"/>
      <c r="F107" s="329"/>
      <c r="G107" s="329"/>
      <c r="H107" s="329"/>
      <c r="I107" s="329"/>
      <c r="J107" s="329"/>
      <c r="K107" s="329"/>
      <c r="L107" s="329"/>
      <c r="M107" s="329"/>
      <c r="N107" s="329"/>
      <c r="O107" s="329"/>
      <c r="P107" s="329"/>
      <c r="Q107" s="529"/>
    </row>
    <row r="108" spans="1:20" ht="13.5" hidden="1" thickBot="1" x14ac:dyDescent="0.25">
      <c r="A108" s="528"/>
      <c r="B108" s="329"/>
      <c r="C108" s="329"/>
      <c r="D108" s="329"/>
      <c r="E108" s="329"/>
      <c r="F108" s="329"/>
      <c r="G108" s="329"/>
      <c r="H108" s="329"/>
      <c r="I108" s="329"/>
      <c r="J108" s="329"/>
      <c r="K108" s="329"/>
      <c r="L108" s="329"/>
      <c r="M108" s="329"/>
      <c r="N108" s="329"/>
      <c r="O108" s="329"/>
      <c r="P108" s="329"/>
      <c r="Q108" s="529"/>
    </row>
    <row r="109" spans="1:20" ht="13.5" hidden="1" thickBot="1" x14ac:dyDescent="0.25">
      <c r="A109" s="528"/>
      <c r="B109" s="329"/>
      <c r="C109" s="329"/>
      <c r="D109" s="329"/>
      <c r="E109" s="329"/>
      <c r="F109" s="329"/>
      <c r="G109" s="329"/>
      <c r="H109" s="329"/>
      <c r="I109" s="329"/>
      <c r="J109" s="329"/>
      <c r="K109" s="329"/>
      <c r="L109" s="329"/>
      <c r="M109" s="329"/>
      <c r="N109" s="329"/>
      <c r="O109" s="329"/>
      <c r="P109" s="329"/>
      <c r="Q109" s="529"/>
    </row>
    <row r="110" spans="1:20" ht="13.5" hidden="1" thickBot="1" x14ac:dyDescent="0.25">
      <c r="A110" s="528"/>
      <c r="B110" s="329"/>
      <c r="C110" s="329"/>
      <c r="D110" s="329"/>
      <c r="E110" s="329"/>
      <c r="F110" s="329"/>
      <c r="G110" s="329"/>
      <c r="H110" s="329"/>
      <c r="I110" s="329"/>
      <c r="J110" s="329"/>
      <c r="K110" s="329"/>
      <c r="L110" s="329"/>
      <c r="M110" s="329"/>
      <c r="N110" s="329"/>
      <c r="O110" s="329"/>
      <c r="P110" s="329"/>
      <c r="Q110" s="529"/>
    </row>
    <row r="111" spans="1:20" ht="13.5" hidden="1" thickBot="1" x14ac:dyDescent="0.25">
      <c r="A111" s="528"/>
      <c r="B111" s="329"/>
      <c r="C111" s="329"/>
      <c r="D111" s="329"/>
      <c r="E111" s="329"/>
      <c r="F111" s="329"/>
      <c r="G111" s="329"/>
      <c r="H111" s="329"/>
      <c r="I111" s="329"/>
      <c r="J111" s="329"/>
      <c r="K111" s="329"/>
      <c r="L111" s="329"/>
      <c r="M111" s="329"/>
      <c r="N111" s="329"/>
      <c r="O111" s="329"/>
      <c r="P111" s="329"/>
      <c r="Q111" s="529"/>
    </row>
    <row r="112" spans="1:20" ht="13.5" hidden="1" thickBot="1" x14ac:dyDescent="0.25">
      <c r="A112" s="528"/>
      <c r="B112" s="329"/>
      <c r="C112" s="329"/>
      <c r="D112" s="329"/>
      <c r="E112" s="329"/>
      <c r="F112" s="329"/>
      <c r="G112" s="329"/>
      <c r="H112" s="329"/>
      <c r="I112" s="329"/>
      <c r="J112" s="329"/>
      <c r="K112" s="329"/>
      <c r="L112" s="329"/>
      <c r="M112" s="329"/>
      <c r="N112" s="329"/>
      <c r="O112" s="329"/>
      <c r="P112" s="329"/>
      <c r="Q112" s="529"/>
    </row>
    <row r="113" spans="1:24" ht="13.5" hidden="1" thickBot="1" x14ac:dyDescent="0.25">
      <c r="A113" s="528"/>
      <c r="B113" s="329"/>
      <c r="C113" s="329"/>
      <c r="D113" s="329"/>
      <c r="E113" s="329"/>
      <c r="F113" s="329"/>
      <c r="G113" s="329"/>
      <c r="H113" s="329"/>
      <c r="I113" s="329"/>
      <c r="J113" s="329"/>
      <c r="K113" s="329"/>
      <c r="L113" s="329"/>
      <c r="M113" s="329"/>
      <c r="N113" s="329"/>
      <c r="O113" s="329"/>
      <c r="P113" s="329"/>
      <c r="Q113" s="529"/>
      <c r="X113" s="329"/>
    </row>
    <row r="114" spans="1:24" ht="13.5" hidden="1" thickBot="1" x14ac:dyDescent="0.25">
      <c r="A114" s="528"/>
      <c r="B114" s="329"/>
      <c r="C114" s="329"/>
      <c r="D114" s="329"/>
      <c r="E114" s="329"/>
      <c r="F114" s="329"/>
      <c r="G114" s="329"/>
      <c r="H114" s="329"/>
      <c r="I114" s="329"/>
      <c r="J114" s="329"/>
      <c r="K114" s="329"/>
      <c r="L114" s="329"/>
      <c r="M114" s="329"/>
      <c r="N114" s="329"/>
      <c r="O114" s="329"/>
      <c r="P114" s="329"/>
      <c r="Q114" s="529"/>
    </row>
    <row r="115" spans="1:24" ht="13.5" hidden="1" thickBot="1" x14ac:dyDescent="0.25">
      <c r="A115" s="528"/>
      <c r="B115" s="329"/>
      <c r="C115" s="329"/>
      <c r="D115" s="329"/>
      <c r="E115" s="329"/>
      <c r="F115" s="329"/>
      <c r="G115" s="329"/>
      <c r="H115" s="329"/>
      <c r="I115" s="329"/>
      <c r="J115" s="329"/>
      <c r="K115" s="329"/>
      <c r="L115" s="329"/>
      <c r="M115" s="329"/>
      <c r="N115" s="329"/>
      <c r="O115" s="329"/>
      <c r="P115" s="329"/>
      <c r="Q115" s="529"/>
    </row>
    <row r="116" spans="1:24" ht="15.75" x14ac:dyDescent="0.2">
      <c r="A116" s="687" t="s">
        <v>24</v>
      </c>
      <c r="B116" s="688"/>
      <c r="C116" s="688"/>
      <c r="D116" s="688"/>
      <c r="E116" s="688"/>
      <c r="F116" s="688"/>
      <c r="G116" s="688"/>
      <c r="H116" s="688"/>
      <c r="I116" s="688"/>
      <c r="J116" s="688"/>
      <c r="K116" s="688"/>
      <c r="L116" s="688"/>
      <c r="M116" s="688"/>
      <c r="N116" s="688"/>
      <c r="O116" s="688"/>
      <c r="P116" s="688"/>
      <c r="Q116" s="689"/>
      <c r="R116" s="61"/>
      <c r="S116" s="5"/>
      <c r="T116" s="327"/>
    </row>
    <row r="117" spans="1:24" ht="15.75" customHeight="1" x14ac:dyDescent="0.2">
      <c r="A117" s="690" t="s">
        <v>46</v>
      </c>
      <c r="B117" s="691"/>
      <c r="C117" s="691"/>
      <c r="D117" s="691"/>
      <c r="E117" s="691"/>
      <c r="F117" s="691"/>
      <c r="G117" s="691"/>
      <c r="H117" s="691"/>
      <c r="I117" s="691"/>
      <c r="J117" s="691"/>
      <c r="K117" s="691"/>
      <c r="L117" s="691"/>
      <c r="M117" s="691"/>
      <c r="N117" s="691"/>
      <c r="O117" s="691"/>
      <c r="P117" s="691"/>
      <c r="Q117" s="692"/>
      <c r="R117" s="61"/>
      <c r="S117" s="5"/>
      <c r="T117" s="327"/>
    </row>
    <row r="118" spans="1:24" ht="15.75" x14ac:dyDescent="0.2">
      <c r="A118" s="738" t="s">
        <v>346</v>
      </c>
      <c r="B118" s="739"/>
      <c r="C118" s="739"/>
      <c r="D118" s="739"/>
      <c r="E118" s="739"/>
      <c r="F118" s="739"/>
      <c r="G118" s="739"/>
      <c r="H118" s="739"/>
      <c r="I118" s="739"/>
      <c r="J118" s="739"/>
      <c r="K118" s="739"/>
      <c r="L118" s="739"/>
      <c r="M118" s="739"/>
      <c r="N118" s="739"/>
      <c r="O118" s="739"/>
      <c r="P118" s="739"/>
      <c r="Q118" s="740"/>
      <c r="R118" s="387"/>
      <c r="S118" s="5"/>
      <c r="T118" s="327"/>
    </row>
    <row r="119" spans="1:24" ht="15.75" x14ac:dyDescent="0.2">
      <c r="A119" s="825" t="s">
        <v>298</v>
      </c>
      <c r="B119" s="824"/>
      <c r="C119" s="824"/>
      <c r="D119" s="824"/>
      <c r="E119" s="824"/>
      <c r="F119" s="824"/>
      <c r="G119" s="824"/>
      <c r="H119" s="824"/>
      <c r="I119" s="824"/>
      <c r="J119" s="824"/>
      <c r="K119" s="824"/>
      <c r="L119" s="824"/>
      <c r="M119" s="824"/>
      <c r="N119" s="824"/>
      <c r="O119" s="824"/>
      <c r="P119" s="824"/>
      <c r="Q119" s="826"/>
      <c r="R119" s="61"/>
      <c r="S119" s="5"/>
      <c r="T119" s="327"/>
    </row>
    <row r="120" spans="1:24" ht="15.75" x14ac:dyDescent="0.2">
      <c r="A120" s="690" t="s">
        <v>347</v>
      </c>
      <c r="B120" s="691"/>
      <c r="C120" s="691"/>
      <c r="D120" s="691"/>
      <c r="E120" s="691"/>
      <c r="F120" s="691"/>
      <c r="G120" s="691"/>
      <c r="H120" s="691"/>
      <c r="I120" s="691"/>
      <c r="J120" s="691"/>
      <c r="K120" s="691"/>
      <c r="L120" s="691"/>
      <c r="M120" s="691"/>
      <c r="N120" s="691"/>
      <c r="O120" s="691"/>
      <c r="P120" s="691"/>
      <c r="Q120" s="692"/>
      <c r="R120" s="61"/>
      <c r="S120" s="5"/>
      <c r="T120" s="327"/>
    </row>
    <row r="121" spans="1:24" ht="26.25" customHeight="1" x14ac:dyDescent="0.2">
      <c r="A121" s="738" t="s">
        <v>360</v>
      </c>
      <c r="B121" s="739"/>
      <c r="C121" s="739"/>
      <c r="D121" s="739"/>
      <c r="E121" s="739"/>
      <c r="F121" s="739"/>
      <c r="G121" s="739"/>
      <c r="H121" s="739"/>
      <c r="I121" s="739"/>
      <c r="J121" s="739"/>
      <c r="K121" s="739"/>
      <c r="L121" s="739"/>
      <c r="M121" s="739"/>
      <c r="N121" s="739"/>
      <c r="O121" s="739"/>
      <c r="P121" s="739"/>
      <c r="Q121" s="740"/>
      <c r="R121" s="584" t="s">
        <v>306</v>
      </c>
    </row>
    <row r="122" spans="1:24" ht="26.25" thickBot="1" x14ac:dyDescent="0.25">
      <c r="A122" s="678" t="s">
        <v>361</v>
      </c>
      <c r="B122" s="679"/>
      <c r="C122" s="679"/>
      <c r="D122" s="679"/>
      <c r="E122" s="679"/>
      <c r="F122" s="679"/>
      <c r="G122" s="679"/>
      <c r="H122" s="679"/>
      <c r="I122" s="679"/>
      <c r="J122" s="679"/>
      <c r="K122" s="679"/>
      <c r="L122" s="679"/>
      <c r="M122" s="679"/>
      <c r="N122" s="679"/>
      <c r="O122" s="679"/>
      <c r="P122" s="679"/>
      <c r="Q122" s="680"/>
      <c r="R122" s="584" t="s">
        <v>306</v>
      </c>
    </row>
    <row r="135" spans="1:18" x14ac:dyDescent="0.2">
      <c r="A135" s="824"/>
      <c r="B135" s="824"/>
      <c r="C135" s="824"/>
      <c r="D135" s="824"/>
      <c r="E135" s="824"/>
      <c r="F135" s="824"/>
      <c r="G135" s="824"/>
      <c r="H135" s="824"/>
      <c r="I135" s="824"/>
      <c r="J135" s="824"/>
      <c r="K135" s="824"/>
      <c r="L135" s="824"/>
      <c r="M135" s="824"/>
      <c r="N135" s="824"/>
      <c r="O135" s="824"/>
      <c r="P135" s="824"/>
      <c r="Q135" s="824"/>
      <c r="R135" s="330"/>
    </row>
    <row r="136" spans="1:18" x14ac:dyDescent="0.2">
      <c r="A136" s="673"/>
      <c r="B136" s="673"/>
      <c r="C136" s="673"/>
      <c r="D136" s="673"/>
      <c r="E136" s="673"/>
      <c r="F136" s="673"/>
      <c r="G136" s="673"/>
      <c r="H136" s="673"/>
      <c r="I136" s="673"/>
      <c r="J136" s="673"/>
      <c r="K136" s="673"/>
      <c r="L136" s="673"/>
      <c r="M136" s="673"/>
      <c r="N136" s="673"/>
      <c r="O136" s="673"/>
      <c r="P136" s="673"/>
      <c r="Q136" s="673"/>
      <c r="R136" s="325"/>
    </row>
    <row r="137" spans="1:18" x14ac:dyDescent="0.2">
      <c r="A137" s="686"/>
      <c r="B137" s="686"/>
      <c r="C137" s="686"/>
      <c r="D137" s="686"/>
      <c r="E137" s="686"/>
      <c r="F137" s="686"/>
      <c r="G137" s="686"/>
      <c r="H137" s="686"/>
      <c r="I137" s="686"/>
      <c r="J137" s="686"/>
      <c r="K137" s="686"/>
      <c r="L137" s="686"/>
      <c r="M137" s="686"/>
      <c r="N137" s="686"/>
      <c r="O137" s="686"/>
      <c r="P137" s="686"/>
      <c r="Q137" s="686"/>
      <c r="R137" s="326"/>
    </row>
    <row r="138" spans="1:18" x14ac:dyDescent="0.2">
      <c r="A138" s="686"/>
      <c r="B138" s="686"/>
      <c r="C138" s="686"/>
      <c r="D138" s="686"/>
      <c r="E138" s="686"/>
      <c r="F138" s="686"/>
      <c r="G138" s="686"/>
      <c r="H138" s="686"/>
      <c r="I138" s="686"/>
      <c r="J138" s="686"/>
      <c r="K138" s="686"/>
      <c r="L138" s="686"/>
      <c r="M138" s="686"/>
      <c r="N138" s="686"/>
      <c r="O138" s="686"/>
      <c r="P138" s="686"/>
      <c r="Q138" s="686"/>
      <c r="R138" s="326"/>
    </row>
    <row r="139" spans="1:18" x14ac:dyDescent="0.2">
      <c r="A139" s="329"/>
      <c r="B139" s="329"/>
      <c r="C139" s="329"/>
      <c r="D139" s="329"/>
      <c r="E139" s="329"/>
      <c r="F139" s="329"/>
      <c r="G139" s="329"/>
      <c r="H139" s="329"/>
      <c r="I139" s="329"/>
      <c r="J139" s="329"/>
      <c r="K139" s="329"/>
      <c r="L139" s="329"/>
      <c r="M139" s="329"/>
      <c r="N139" s="329"/>
      <c r="O139" s="329"/>
      <c r="P139" s="329"/>
      <c r="Q139" s="329"/>
    </row>
    <row r="140" spans="1:18" x14ac:dyDescent="0.2">
      <c r="A140" s="329"/>
      <c r="B140" s="329"/>
      <c r="C140" s="329"/>
      <c r="D140" s="329"/>
      <c r="E140" s="329"/>
      <c r="F140" s="329"/>
      <c r="G140" s="329"/>
      <c r="H140" s="329"/>
      <c r="I140" s="329"/>
      <c r="J140" s="329"/>
      <c r="K140" s="329"/>
      <c r="L140" s="329"/>
      <c r="M140" s="329"/>
      <c r="N140" s="329"/>
      <c r="O140" s="329"/>
      <c r="P140" s="329"/>
      <c r="Q140" s="329"/>
    </row>
  </sheetData>
  <mergeCells count="12">
    <mergeCell ref="A1:Q1"/>
    <mergeCell ref="A135:Q135"/>
    <mergeCell ref="A136:Q136"/>
    <mergeCell ref="A137:Q137"/>
    <mergeCell ref="A138:Q138"/>
    <mergeCell ref="A116:Q116"/>
    <mergeCell ref="A117:Q117"/>
    <mergeCell ref="A118:Q118"/>
    <mergeCell ref="A119:Q119"/>
    <mergeCell ref="A121:Q121"/>
    <mergeCell ref="A120:Q120"/>
    <mergeCell ref="A122:Q122"/>
  </mergeCells>
  <printOptions horizontalCentered="1" gridLines="1"/>
  <pageMargins left="0.28999999999999998" right="0.28999999999999998" top="0.7" bottom="0.43" header="0.3" footer="0.27"/>
  <pageSetup scale="52" fitToHeight="0"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rowBreaks count="1" manualBreakCount="1">
    <brk id="58"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W94"/>
  <sheetViews>
    <sheetView view="pageBreakPreview" topLeftCell="A69" zoomScaleNormal="100" zoomScaleSheetLayoutView="100" workbookViewId="0">
      <selection activeCell="I68" sqref="I68"/>
    </sheetView>
  </sheetViews>
  <sheetFormatPr defaultRowHeight="12.75" x14ac:dyDescent="0.2"/>
  <cols>
    <col min="2" max="2" width="9.28515625" bestFit="1" customWidth="1"/>
    <col min="3" max="3" width="11.7109375" bestFit="1" customWidth="1"/>
    <col min="4" max="15" width="10.7109375" customWidth="1"/>
    <col min="16" max="16" width="13.42578125" customWidth="1"/>
  </cols>
  <sheetData>
    <row r="1" spans="2:19" ht="13.5" thickBot="1" x14ac:dyDescent="0.25"/>
    <row r="2" spans="2:19" ht="16.5" thickBot="1" x14ac:dyDescent="0.3">
      <c r="B2" s="696" t="s">
        <v>175</v>
      </c>
      <c r="C2" s="697"/>
      <c r="D2" s="697"/>
      <c r="E2" s="697"/>
      <c r="F2" s="697"/>
      <c r="G2" s="697"/>
      <c r="H2" s="697"/>
      <c r="I2" s="697"/>
      <c r="J2" s="697"/>
      <c r="K2" s="697"/>
      <c r="L2" s="697"/>
      <c r="M2" s="697"/>
      <c r="N2" s="697"/>
      <c r="O2" s="697"/>
      <c r="P2" s="698"/>
    </row>
    <row r="3" spans="2:19" ht="63.75" thickBot="1" x14ac:dyDescent="0.25">
      <c r="B3" s="91" t="s">
        <v>240</v>
      </c>
      <c r="C3" s="91" t="s">
        <v>241</v>
      </c>
      <c r="D3" s="568">
        <v>42917</v>
      </c>
      <c r="E3" s="568">
        <v>42948</v>
      </c>
      <c r="F3" s="568">
        <v>42979</v>
      </c>
      <c r="G3" s="568">
        <v>43009</v>
      </c>
      <c r="H3" s="568">
        <v>43040</v>
      </c>
      <c r="I3" s="568">
        <v>43070</v>
      </c>
      <c r="J3" s="568">
        <v>43101</v>
      </c>
      <c r="K3" s="568">
        <v>43132</v>
      </c>
      <c r="L3" s="568">
        <v>43160</v>
      </c>
      <c r="M3" s="568">
        <v>43191</v>
      </c>
      <c r="N3" s="568">
        <v>43221</v>
      </c>
      <c r="O3" s="569">
        <v>43252</v>
      </c>
      <c r="P3" s="492" t="s">
        <v>334</v>
      </c>
    </row>
    <row r="4" spans="2:19" ht="15.75" x14ac:dyDescent="0.25">
      <c r="B4" s="699" t="s">
        <v>260</v>
      </c>
      <c r="C4" s="331" t="s">
        <v>179</v>
      </c>
      <c r="D4" s="334">
        <v>3097</v>
      </c>
      <c r="E4" s="334">
        <v>3163</v>
      </c>
      <c r="F4" s="334">
        <v>3104</v>
      </c>
      <c r="G4" s="334">
        <v>2962</v>
      </c>
      <c r="H4" s="334">
        <v>2865</v>
      </c>
      <c r="I4" s="334">
        <v>2841</v>
      </c>
      <c r="J4" s="334"/>
      <c r="K4" s="334"/>
      <c r="L4" s="334"/>
      <c r="M4" s="334"/>
      <c r="N4" s="334"/>
      <c r="O4" s="335"/>
      <c r="P4" s="336">
        <f>ROUND(AVERAGE(D4:O4),0)</f>
        <v>3005</v>
      </c>
      <c r="Q4" s="327"/>
      <c r="R4" s="348"/>
    </row>
    <row r="5" spans="2:19" ht="15.75" x14ac:dyDescent="0.25">
      <c r="B5" s="700"/>
      <c r="C5" s="332" t="s">
        <v>191</v>
      </c>
      <c r="D5" s="32">
        <v>8532</v>
      </c>
      <c r="E5" s="32">
        <v>8648</v>
      </c>
      <c r="F5" s="32">
        <v>8529</v>
      </c>
      <c r="G5" s="32">
        <v>8222</v>
      </c>
      <c r="H5" s="32">
        <v>8131</v>
      </c>
      <c r="I5" s="32">
        <v>8257</v>
      </c>
      <c r="J5" s="32"/>
      <c r="K5" s="32"/>
      <c r="L5" s="32"/>
      <c r="M5" s="32"/>
      <c r="N5" s="32"/>
      <c r="O5" s="337"/>
      <c r="P5" s="338">
        <f>ROUND(AVERAGE(D5:O5),0)</f>
        <v>8387</v>
      </c>
      <c r="Q5" s="327"/>
      <c r="R5" s="348"/>
    </row>
    <row r="6" spans="2:19" ht="15.75" x14ac:dyDescent="0.25">
      <c r="B6" s="700"/>
      <c r="C6" s="332" t="s">
        <v>193</v>
      </c>
      <c r="D6" s="32">
        <v>526</v>
      </c>
      <c r="E6" s="32">
        <v>542</v>
      </c>
      <c r="F6" s="32">
        <v>541</v>
      </c>
      <c r="G6" s="32">
        <v>534</v>
      </c>
      <c r="H6" s="32">
        <v>505</v>
      </c>
      <c r="I6" s="32">
        <v>526</v>
      </c>
      <c r="J6" s="32"/>
      <c r="K6" s="32"/>
      <c r="L6" s="32"/>
      <c r="M6" s="32"/>
      <c r="N6" s="32"/>
      <c r="O6" s="337"/>
      <c r="P6" s="338">
        <f t="shared" ref="P6:P10" si="0">ROUND(AVERAGE(D6:O6),0)</f>
        <v>529</v>
      </c>
      <c r="Q6" s="327"/>
      <c r="R6" s="348"/>
      <c r="S6" s="327"/>
    </row>
    <row r="7" spans="2:19" ht="15.75" x14ac:dyDescent="0.25">
      <c r="B7" s="700"/>
      <c r="C7" s="332" t="s">
        <v>195</v>
      </c>
      <c r="D7" s="32">
        <v>5720</v>
      </c>
      <c r="E7" s="32">
        <v>5816</v>
      </c>
      <c r="F7" s="32">
        <v>5742</v>
      </c>
      <c r="G7" s="32">
        <v>5375</v>
      </c>
      <c r="H7" s="32">
        <v>5272</v>
      </c>
      <c r="I7" s="32">
        <v>5252</v>
      </c>
      <c r="J7" s="32"/>
      <c r="K7" s="32"/>
      <c r="L7" s="32"/>
      <c r="M7" s="32"/>
      <c r="N7" s="32"/>
      <c r="O7" s="337"/>
      <c r="P7" s="338">
        <f>ROUND(AVERAGE(D7:O7),0)</f>
        <v>5530</v>
      </c>
      <c r="Q7" s="327"/>
      <c r="R7" s="348"/>
      <c r="S7" s="327"/>
    </row>
    <row r="8" spans="2:19" ht="15.75" x14ac:dyDescent="0.25">
      <c r="B8" s="700"/>
      <c r="C8" s="332" t="s">
        <v>199</v>
      </c>
      <c r="D8" s="32">
        <v>11795</v>
      </c>
      <c r="E8" s="32">
        <v>11754</v>
      </c>
      <c r="F8" s="32">
        <v>11583</v>
      </c>
      <c r="G8" s="32">
        <v>11222</v>
      </c>
      <c r="H8" s="32">
        <v>11038</v>
      </c>
      <c r="I8" s="32">
        <v>11135</v>
      </c>
      <c r="J8" s="32"/>
      <c r="K8" s="32"/>
      <c r="L8" s="32"/>
      <c r="M8" s="32"/>
      <c r="N8" s="32"/>
      <c r="O8" s="337"/>
      <c r="P8" s="338">
        <f>ROUND(AVERAGE(D8:O8),0)</f>
        <v>11421</v>
      </c>
      <c r="Q8" s="327"/>
      <c r="R8" s="348"/>
      <c r="S8" s="327"/>
    </row>
    <row r="9" spans="2:19" ht="15.75" x14ac:dyDescent="0.25">
      <c r="B9" s="700"/>
      <c r="C9" s="332" t="s">
        <v>201</v>
      </c>
      <c r="D9" s="32">
        <v>1627</v>
      </c>
      <c r="E9" s="32">
        <v>1667</v>
      </c>
      <c r="F9" s="32">
        <v>1632</v>
      </c>
      <c r="G9" s="32">
        <v>1569</v>
      </c>
      <c r="H9" s="32">
        <v>1539</v>
      </c>
      <c r="I9" s="32">
        <v>1577</v>
      </c>
      <c r="J9" s="32"/>
      <c r="K9" s="32"/>
      <c r="L9" s="32"/>
      <c r="M9" s="32"/>
      <c r="N9" s="32"/>
      <c r="O9" s="337"/>
      <c r="P9" s="338">
        <f t="shared" si="0"/>
        <v>1602</v>
      </c>
      <c r="R9" s="348"/>
      <c r="S9" s="327"/>
    </row>
    <row r="10" spans="2:19" ht="15.75" x14ac:dyDescent="0.25">
      <c r="B10" s="700"/>
      <c r="C10" s="332" t="s">
        <v>202</v>
      </c>
      <c r="D10" s="32">
        <v>3116</v>
      </c>
      <c r="E10" s="32">
        <v>3111</v>
      </c>
      <c r="F10" s="32">
        <v>3098</v>
      </c>
      <c r="G10" s="32">
        <v>2954</v>
      </c>
      <c r="H10" s="32">
        <v>2864</v>
      </c>
      <c r="I10" s="32">
        <v>2855</v>
      </c>
      <c r="J10" s="32"/>
      <c r="K10" s="32"/>
      <c r="L10" s="32"/>
      <c r="M10" s="32"/>
      <c r="N10" s="32"/>
      <c r="O10" s="337"/>
      <c r="P10" s="338">
        <f t="shared" si="0"/>
        <v>3000</v>
      </c>
      <c r="R10" s="348"/>
      <c r="S10" s="327"/>
    </row>
    <row r="11" spans="2:19" ht="15.75" x14ac:dyDescent="0.25">
      <c r="B11" s="700"/>
      <c r="C11" s="332" t="s">
        <v>203</v>
      </c>
      <c r="D11" s="32">
        <v>141</v>
      </c>
      <c r="E11" s="32">
        <v>142</v>
      </c>
      <c r="F11" s="32">
        <v>143</v>
      </c>
      <c r="G11" s="32">
        <v>140</v>
      </c>
      <c r="H11" s="32">
        <v>146</v>
      </c>
      <c r="I11" s="32">
        <v>143</v>
      </c>
      <c r="J11" s="32"/>
      <c r="K11" s="32"/>
      <c r="L11" s="32"/>
      <c r="M11" s="32"/>
      <c r="N11" s="32"/>
      <c r="O11" s="337"/>
      <c r="P11" s="338">
        <f>ROUND(AVERAGE(D11:O11),0)</f>
        <v>143</v>
      </c>
      <c r="R11" s="348"/>
      <c r="S11" s="327"/>
    </row>
    <row r="12" spans="2:19" ht="15.75" x14ac:dyDescent="0.25">
      <c r="B12" s="700"/>
      <c r="C12" s="332" t="s">
        <v>205</v>
      </c>
      <c r="D12" s="32">
        <v>252</v>
      </c>
      <c r="E12" s="32">
        <v>262</v>
      </c>
      <c r="F12" s="32">
        <v>254</v>
      </c>
      <c r="G12" s="32">
        <v>237</v>
      </c>
      <c r="H12" s="32">
        <v>231</v>
      </c>
      <c r="I12" s="32">
        <v>231</v>
      </c>
      <c r="J12" s="32"/>
      <c r="K12" s="32"/>
      <c r="L12" s="32"/>
      <c r="M12" s="32"/>
      <c r="N12" s="32"/>
      <c r="O12" s="337"/>
      <c r="P12" s="338">
        <f t="shared" ref="P12:P24" si="1">ROUND(AVERAGE(D12:O12),0)</f>
        <v>245</v>
      </c>
      <c r="R12" s="348"/>
      <c r="S12" s="327"/>
    </row>
    <row r="13" spans="2:19" ht="15.75" x14ac:dyDescent="0.25">
      <c r="B13" s="700"/>
      <c r="C13" s="332" t="s">
        <v>209</v>
      </c>
      <c r="D13" s="32">
        <v>10069</v>
      </c>
      <c r="E13" s="32">
        <v>10239</v>
      </c>
      <c r="F13" s="32">
        <v>10068</v>
      </c>
      <c r="G13" s="32">
        <v>9704</v>
      </c>
      <c r="H13" s="32">
        <v>9525</v>
      </c>
      <c r="I13" s="32">
        <v>9603</v>
      </c>
      <c r="J13" s="32"/>
      <c r="K13" s="32"/>
      <c r="L13" s="32"/>
      <c r="M13" s="32"/>
      <c r="N13" s="32"/>
      <c r="O13" s="337"/>
      <c r="P13" s="338">
        <f>ROUND(AVERAGE(D13:O13),0)</f>
        <v>9868</v>
      </c>
      <c r="R13" s="348"/>
      <c r="S13" s="327"/>
    </row>
    <row r="14" spans="2:19" ht="15.75" x14ac:dyDescent="0.25">
      <c r="B14" s="700"/>
      <c r="C14" s="332" t="s">
        <v>211</v>
      </c>
      <c r="D14" s="32">
        <v>55811</v>
      </c>
      <c r="E14" s="32">
        <v>56370</v>
      </c>
      <c r="F14" s="32">
        <v>55648</v>
      </c>
      <c r="G14" s="32">
        <v>53071</v>
      </c>
      <c r="H14" s="32">
        <v>52331</v>
      </c>
      <c r="I14" s="32">
        <v>52967</v>
      </c>
      <c r="J14" s="32"/>
      <c r="K14" s="32"/>
      <c r="L14" s="32"/>
      <c r="M14" s="32"/>
      <c r="N14" s="32"/>
      <c r="O14" s="337"/>
      <c r="P14" s="338">
        <f>ROUND(AVERAGE(D14:O14),0)</f>
        <v>54366</v>
      </c>
      <c r="Q14" s="352"/>
      <c r="R14" s="348"/>
      <c r="S14" s="327"/>
    </row>
    <row r="15" spans="2:19" ht="15.75" x14ac:dyDescent="0.25">
      <c r="B15" s="700"/>
      <c r="C15" s="332" t="s">
        <v>215</v>
      </c>
      <c r="D15" s="32">
        <v>40852</v>
      </c>
      <c r="E15" s="32">
        <v>41123</v>
      </c>
      <c r="F15" s="32">
        <v>40703</v>
      </c>
      <c r="G15" s="32">
        <v>39635</v>
      </c>
      <c r="H15" s="32">
        <v>39397</v>
      </c>
      <c r="I15" s="32">
        <v>40008</v>
      </c>
      <c r="J15" s="32"/>
      <c r="K15" s="32"/>
      <c r="L15" s="32"/>
      <c r="M15" s="32"/>
      <c r="N15" s="32"/>
      <c r="O15" s="337"/>
      <c r="P15" s="338">
        <f>ROUND(AVERAGE(D15:O15),0)</f>
        <v>40286</v>
      </c>
      <c r="Q15" s="352"/>
      <c r="R15" s="348"/>
      <c r="S15" s="327"/>
    </row>
    <row r="16" spans="2:19" ht="15.75" x14ac:dyDescent="0.25">
      <c r="B16" s="700"/>
      <c r="C16" s="332" t="s">
        <v>217</v>
      </c>
      <c r="D16" s="32">
        <v>3166</v>
      </c>
      <c r="E16" s="32">
        <v>3186</v>
      </c>
      <c r="F16" s="32">
        <v>3181</v>
      </c>
      <c r="G16" s="32">
        <v>3081</v>
      </c>
      <c r="H16" s="32">
        <v>3045</v>
      </c>
      <c r="I16" s="32">
        <v>3077</v>
      </c>
      <c r="J16" s="32"/>
      <c r="K16" s="32"/>
      <c r="L16" s="32"/>
      <c r="M16" s="32"/>
      <c r="N16" s="32"/>
      <c r="O16" s="337"/>
      <c r="P16" s="338">
        <f t="shared" si="1"/>
        <v>3123</v>
      </c>
      <c r="R16" s="348"/>
      <c r="S16" s="327"/>
    </row>
    <row r="17" spans="2:19" ht="15.75" x14ac:dyDescent="0.25">
      <c r="B17" s="700"/>
      <c r="C17" s="332" t="s">
        <v>218</v>
      </c>
      <c r="D17" s="32">
        <v>8426</v>
      </c>
      <c r="E17" s="32">
        <v>8540</v>
      </c>
      <c r="F17" s="32">
        <v>8473</v>
      </c>
      <c r="G17" s="32">
        <v>8208</v>
      </c>
      <c r="H17" s="32">
        <v>8046</v>
      </c>
      <c r="I17" s="32">
        <v>8203</v>
      </c>
      <c r="J17" s="32"/>
      <c r="K17" s="32"/>
      <c r="L17" s="32"/>
      <c r="M17" s="32"/>
      <c r="N17" s="32"/>
      <c r="O17" s="337"/>
      <c r="P17" s="338">
        <f>ROUND(AVERAGE(D17:O17),0)</f>
        <v>8316</v>
      </c>
      <c r="Q17" s="327"/>
      <c r="R17" s="348"/>
      <c r="S17" s="327"/>
    </row>
    <row r="18" spans="2:19" ht="15.75" x14ac:dyDescent="0.25">
      <c r="B18" s="700"/>
      <c r="C18" s="332" t="s">
        <v>219</v>
      </c>
      <c r="D18" s="32">
        <v>11042</v>
      </c>
      <c r="E18" s="32">
        <v>11111</v>
      </c>
      <c r="F18" s="32">
        <v>11024</v>
      </c>
      <c r="G18" s="32">
        <v>10780</v>
      </c>
      <c r="H18" s="32">
        <v>10708</v>
      </c>
      <c r="I18" s="32">
        <v>10823</v>
      </c>
      <c r="J18" s="32"/>
      <c r="K18" s="32"/>
      <c r="L18" s="32"/>
      <c r="M18" s="32"/>
      <c r="N18" s="32"/>
      <c r="O18" s="337"/>
      <c r="P18" s="338">
        <f>ROUND(AVERAGE(D18:O18),0)</f>
        <v>10915</v>
      </c>
      <c r="Q18" s="327"/>
      <c r="R18" s="348"/>
      <c r="S18" s="327"/>
    </row>
    <row r="19" spans="2:19" ht="15.75" x14ac:dyDescent="0.25">
      <c r="B19" s="700"/>
      <c r="C19" s="332" t="s">
        <v>222</v>
      </c>
      <c r="D19" s="32">
        <v>620</v>
      </c>
      <c r="E19" s="32">
        <v>639</v>
      </c>
      <c r="F19" s="32">
        <v>632</v>
      </c>
      <c r="G19" s="32">
        <v>607</v>
      </c>
      <c r="H19" s="32">
        <v>590</v>
      </c>
      <c r="I19" s="32">
        <v>586</v>
      </c>
      <c r="J19" s="32"/>
      <c r="K19" s="32"/>
      <c r="L19" s="32"/>
      <c r="M19" s="32"/>
      <c r="N19" s="32"/>
      <c r="O19" s="337"/>
      <c r="P19" s="338">
        <f>ROUND(AVERAGE(D19:O19),0)</f>
        <v>612</v>
      </c>
      <c r="Q19" s="327"/>
      <c r="R19" s="348"/>
      <c r="S19" s="327"/>
    </row>
    <row r="20" spans="2:19" ht="15.75" x14ac:dyDescent="0.25">
      <c r="B20" s="700"/>
      <c r="C20" s="332" t="s">
        <v>225</v>
      </c>
      <c r="D20" s="32">
        <v>1416</v>
      </c>
      <c r="E20" s="32">
        <v>1445</v>
      </c>
      <c r="F20" s="32">
        <v>1444</v>
      </c>
      <c r="G20" s="32">
        <v>1349</v>
      </c>
      <c r="H20" s="32">
        <v>1341</v>
      </c>
      <c r="I20" s="32">
        <v>1365</v>
      </c>
      <c r="J20" s="32"/>
      <c r="K20" s="32"/>
      <c r="L20" s="32"/>
      <c r="M20" s="32"/>
      <c r="N20" s="32"/>
      <c r="O20" s="337"/>
      <c r="P20" s="338">
        <f>ROUND(AVERAGE(D20:O20),0)</f>
        <v>1393</v>
      </c>
      <c r="R20" s="348"/>
      <c r="S20" s="327"/>
    </row>
    <row r="21" spans="2:19" ht="15.75" x14ac:dyDescent="0.25">
      <c r="B21" s="700"/>
      <c r="C21" s="332" t="s">
        <v>228</v>
      </c>
      <c r="D21" s="32">
        <v>1072</v>
      </c>
      <c r="E21" s="32">
        <v>1068</v>
      </c>
      <c r="F21" s="32">
        <v>1057</v>
      </c>
      <c r="G21" s="32">
        <v>1037</v>
      </c>
      <c r="H21" s="32">
        <v>1036</v>
      </c>
      <c r="I21" s="32">
        <v>1090</v>
      </c>
      <c r="J21" s="32"/>
      <c r="K21" s="32"/>
      <c r="L21" s="32"/>
      <c r="M21" s="32"/>
      <c r="N21" s="32"/>
      <c r="O21" s="337"/>
      <c r="P21" s="338">
        <f t="shared" si="1"/>
        <v>1060</v>
      </c>
      <c r="R21" s="348"/>
      <c r="S21" s="327"/>
    </row>
    <row r="22" spans="2:19" ht="15.75" x14ac:dyDescent="0.25">
      <c r="B22" s="700"/>
      <c r="C22" s="332" t="s">
        <v>230</v>
      </c>
      <c r="D22" s="32">
        <v>3342</v>
      </c>
      <c r="E22" s="32">
        <v>3370</v>
      </c>
      <c r="F22" s="32">
        <v>3353</v>
      </c>
      <c r="G22" s="32">
        <v>3140</v>
      </c>
      <c r="H22" s="32">
        <v>3061</v>
      </c>
      <c r="I22" s="32">
        <v>3044</v>
      </c>
      <c r="J22" s="32"/>
      <c r="K22" s="32"/>
      <c r="L22" s="32"/>
      <c r="M22" s="32"/>
      <c r="N22" s="32"/>
      <c r="O22" s="337"/>
      <c r="P22" s="338">
        <f t="shared" si="1"/>
        <v>3218</v>
      </c>
      <c r="R22" s="348"/>
      <c r="S22" s="327"/>
    </row>
    <row r="23" spans="2:19" ht="15.75" x14ac:dyDescent="0.25">
      <c r="B23" s="700"/>
      <c r="C23" s="332" t="s">
        <v>232</v>
      </c>
      <c r="D23" s="32">
        <v>153</v>
      </c>
      <c r="E23" s="32">
        <v>153</v>
      </c>
      <c r="F23" s="32">
        <v>157</v>
      </c>
      <c r="G23" s="32">
        <v>152</v>
      </c>
      <c r="H23" s="32">
        <v>146</v>
      </c>
      <c r="I23" s="32">
        <v>146</v>
      </c>
      <c r="J23" s="32"/>
      <c r="K23" s="32"/>
      <c r="L23" s="32"/>
      <c r="M23" s="32"/>
      <c r="N23" s="32"/>
      <c r="O23" s="337"/>
      <c r="P23" s="338">
        <f t="shared" si="1"/>
        <v>151</v>
      </c>
      <c r="R23" s="348"/>
      <c r="S23" s="327"/>
    </row>
    <row r="24" spans="2:19" ht="15.75" x14ac:dyDescent="0.25">
      <c r="B24" s="700"/>
      <c r="C24" s="332" t="s">
        <v>233</v>
      </c>
      <c r="D24" s="32">
        <v>1001</v>
      </c>
      <c r="E24" s="32">
        <v>1059</v>
      </c>
      <c r="F24" s="32">
        <v>1040</v>
      </c>
      <c r="G24" s="32">
        <v>994</v>
      </c>
      <c r="H24" s="32">
        <v>979</v>
      </c>
      <c r="I24" s="32">
        <v>995</v>
      </c>
      <c r="J24" s="32"/>
      <c r="K24" s="32"/>
      <c r="L24" s="32"/>
      <c r="M24" s="32"/>
      <c r="N24" s="32"/>
      <c r="O24" s="337"/>
      <c r="P24" s="338">
        <f t="shared" si="1"/>
        <v>1011</v>
      </c>
      <c r="R24" s="348"/>
      <c r="S24" s="327"/>
    </row>
    <row r="25" spans="2:19" ht="15.75" x14ac:dyDescent="0.25">
      <c r="B25" s="700"/>
      <c r="C25" s="332" t="s">
        <v>235</v>
      </c>
      <c r="D25" s="32">
        <v>3091</v>
      </c>
      <c r="E25" s="32">
        <v>3125</v>
      </c>
      <c r="F25" s="32">
        <v>3091</v>
      </c>
      <c r="G25" s="32">
        <v>2912</v>
      </c>
      <c r="H25" s="32">
        <v>2842</v>
      </c>
      <c r="I25" s="32">
        <v>2872</v>
      </c>
      <c r="J25" s="32"/>
      <c r="K25" s="32"/>
      <c r="L25" s="32"/>
      <c r="M25" s="32"/>
      <c r="N25" s="32"/>
      <c r="O25" s="337"/>
      <c r="P25" s="338">
        <f>ROUND(AVERAGE(D25:O25),0)</f>
        <v>2989</v>
      </c>
      <c r="Q25" s="327"/>
      <c r="R25" s="348"/>
      <c r="S25" s="327"/>
    </row>
    <row r="26" spans="2:19" ht="19.5" thickBot="1" x14ac:dyDescent="0.3">
      <c r="B26" s="700"/>
      <c r="C26" s="333" t="s">
        <v>249</v>
      </c>
      <c r="D26" s="339">
        <v>353</v>
      </c>
      <c r="E26" s="339">
        <v>518</v>
      </c>
      <c r="F26" s="339">
        <v>575</v>
      </c>
      <c r="G26" s="339">
        <v>524</v>
      </c>
      <c r="H26" s="339">
        <v>539</v>
      </c>
      <c r="I26" s="339">
        <v>343</v>
      </c>
      <c r="J26" s="339"/>
      <c r="K26" s="339"/>
      <c r="L26" s="339"/>
      <c r="M26" s="339"/>
      <c r="N26" s="339"/>
      <c r="O26" s="340"/>
      <c r="P26" s="341">
        <f>ROUND(AVERAGE(D26:O26),0)</f>
        <v>475</v>
      </c>
      <c r="R26" s="348"/>
      <c r="S26" s="327"/>
    </row>
    <row r="27" spans="2:19" ht="17.25" thickTop="1" thickBot="1" x14ac:dyDescent="0.3">
      <c r="B27" s="701"/>
      <c r="C27" s="342" t="s">
        <v>39</v>
      </c>
      <c r="D27" s="343">
        <v>175220</v>
      </c>
      <c r="E27" s="343">
        <v>177051</v>
      </c>
      <c r="F27" s="343">
        <v>175072</v>
      </c>
      <c r="G27" s="343">
        <v>168409</v>
      </c>
      <c r="H27" s="343">
        <v>166177</v>
      </c>
      <c r="I27" s="343">
        <v>167939</v>
      </c>
      <c r="J27" s="343"/>
      <c r="K27" s="343"/>
      <c r="L27" s="343"/>
      <c r="M27" s="343"/>
      <c r="N27" s="343"/>
      <c r="O27" s="344"/>
      <c r="P27" s="345">
        <f>ROUND(AVERAGE(D27:O27),0)</f>
        <v>171645</v>
      </c>
      <c r="Q27" s="17"/>
      <c r="R27" s="348"/>
      <c r="S27" s="327"/>
    </row>
    <row r="28" spans="2:19" ht="15.75" x14ac:dyDescent="0.25">
      <c r="B28" s="699" t="s">
        <v>242</v>
      </c>
      <c r="C28" s="331" t="s">
        <v>185</v>
      </c>
      <c r="D28" s="334">
        <v>411</v>
      </c>
      <c r="E28" s="334">
        <v>400</v>
      </c>
      <c r="F28" s="334">
        <v>400</v>
      </c>
      <c r="G28" s="334">
        <v>392</v>
      </c>
      <c r="H28" s="334">
        <v>384</v>
      </c>
      <c r="I28" s="334">
        <v>399</v>
      </c>
      <c r="J28" s="334"/>
      <c r="K28" s="334"/>
      <c r="L28" s="334"/>
      <c r="M28" s="334"/>
      <c r="N28" s="334"/>
      <c r="O28" s="335"/>
      <c r="P28" s="336">
        <f>ROUND(AVERAGE(D28:O28),0)</f>
        <v>398</v>
      </c>
      <c r="Q28" s="327"/>
      <c r="R28" s="348"/>
      <c r="S28" s="327"/>
    </row>
    <row r="29" spans="2:19" ht="15.75" x14ac:dyDescent="0.25">
      <c r="B29" s="700"/>
      <c r="C29" s="332" t="s">
        <v>208</v>
      </c>
      <c r="D29" s="32">
        <v>1602</v>
      </c>
      <c r="E29" s="32">
        <v>1620</v>
      </c>
      <c r="F29" s="32">
        <v>1631</v>
      </c>
      <c r="G29" s="32">
        <v>1614</v>
      </c>
      <c r="H29" s="32">
        <v>1570</v>
      </c>
      <c r="I29" s="32">
        <v>1592</v>
      </c>
      <c r="J29" s="32"/>
      <c r="K29" s="32"/>
      <c r="L29" s="32"/>
      <c r="M29" s="32"/>
      <c r="N29" s="32"/>
      <c r="O29" s="337"/>
      <c r="P29" s="338">
        <f t="shared" ref="P29:P38" si="2">ROUND(AVERAGE(D29:O29),0)</f>
        <v>1605</v>
      </c>
      <c r="R29" s="348"/>
      <c r="S29" s="327"/>
    </row>
    <row r="30" spans="2:19" ht="15.75" x14ac:dyDescent="0.25">
      <c r="B30" s="700"/>
      <c r="C30" s="332" t="s">
        <v>213</v>
      </c>
      <c r="D30" s="32">
        <v>1184</v>
      </c>
      <c r="E30" s="32">
        <v>1202</v>
      </c>
      <c r="F30" s="32">
        <v>1207</v>
      </c>
      <c r="G30" s="32">
        <v>1164</v>
      </c>
      <c r="H30" s="32">
        <v>1150</v>
      </c>
      <c r="I30" s="32">
        <v>1157</v>
      </c>
      <c r="J30" s="32"/>
      <c r="K30" s="32"/>
      <c r="L30" s="32"/>
      <c r="M30" s="32"/>
      <c r="N30" s="32"/>
      <c r="O30" s="337"/>
      <c r="P30" s="338">
        <f t="shared" si="2"/>
        <v>1177</v>
      </c>
      <c r="R30" s="348"/>
      <c r="S30" s="327"/>
    </row>
    <row r="31" spans="2:19" ht="15.75" x14ac:dyDescent="0.25">
      <c r="B31" s="700"/>
      <c r="C31" s="332" t="s">
        <v>214</v>
      </c>
      <c r="D31" s="32">
        <v>3920</v>
      </c>
      <c r="E31" s="32">
        <v>4003</v>
      </c>
      <c r="F31" s="32">
        <v>3923</v>
      </c>
      <c r="G31" s="32">
        <v>3860</v>
      </c>
      <c r="H31" s="32">
        <v>3824</v>
      </c>
      <c r="I31" s="32">
        <v>3956</v>
      </c>
      <c r="J31" s="32"/>
      <c r="K31" s="32"/>
      <c r="L31" s="32"/>
      <c r="M31" s="32"/>
      <c r="N31" s="32"/>
      <c r="O31" s="337"/>
      <c r="P31" s="338">
        <f t="shared" si="2"/>
        <v>3914</v>
      </c>
      <c r="Q31" s="366"/>
      <c r="R31" s="348"/>
      <c r="S31" s="327"/>
    </row>
    <row r="32" spans="2:19" ht="15.75" x14ac:dyDescent="0.25">
      <c r="B32" s="700"/>
      <c r="C32" s="332" t="s">
        <v>220</v>
      </c>
      <c r="D32" s="32">
        <v>7076</v>
      </c>
      <c r="E32" s="32">
        <v>7180</v>
      </c>
      <c r="F32" s="32">
        <v>7099</v>
      </c>
      <c r="G32" s="32">
        <v>6855</v>
      </c>
      <c r="H32" s="32">
        <v>6769</v>
      </c>
      <c r="I32" s="32">
        <v>6971</v>
      </c>
      <c r="J32" s="32"/>
      <c r="K32" s="32"/>
      <c r="L32" s="32"/>
      <c r="M32" s="32"/>
      <c r="N32" s="32"/>
      <c r="O32" s="337"/>
      <c r="P32" s="338">
        <f>ROUND(AVERAGE(D32:O32),0)</f>
        <v>6992</v>
      </c>
      <c r="Q32" s="352"/>
      <c r="R32" s="348"/>
      <c r="S32" s="327"/>
    </row>
    <row r="33" spans="2:19" ht="15.75" x14ac:dyDescent="0.25">
      <c r="B33" s="700"/>
      <c r="C33" s="332" t="s">
        <v>224</v>
      </c>
      <c r="D33" s="32">
        <v>824</v>
      </c>
      <c r="E33" s="32">
        <v>823</v>
      </c>
      <c r="F33" s="32">
        <v>807</v>
      </c>
      <c r="G33" s="32">
        <v>775</v>
      </c>
      <c r="H33" s="32">
        <v>761</v>
      </c>
      <c r="I33" s="32">
        <v>776</v>
      </c>
      <c r="J33" s="32"/>
      <c r="K33" s="32"/>
      <c r="L33" s="32"/>
      <c r="M33" s="32"/>
      <c r="N33" s="32"/>
      <c r="O33" s="337"/>
      <c r="P33" s="338">
        <f t="shared" si="2"/>
        <v>794</v>
      </c>
      <c r="R33" s="348"/>
      <c r="S33" s="327"/>
    </row>
    <row r="34" spans="2:19" ht="15.75" x14ac:dyDescent="0.25">
      <c r="B34" s="700"/>
      <c r="C34" s="332" t="s">
        <v>234</v>
      </c>
      <c r="D34" s="32">
        <v>573</v>
      </c>
      <c r="E34" s="32">
        <v>560</v>
      </c>
      <c r="F34" s="32">
        <v>548</v>
      </c>
      <c r="G34" s="32">
        <v>552</v>
      </c>
      <c r="H34" s="32">
        <v>549</v>
      </c>
      <c r="I34" s="32">
        <v>556</v>
      </c>
      <c r="J34" s="32"/>
      <c r="K34" s="32"/>
      <c r="L34" s="32"/>
      <c r="M34" s="32"/>
      <c r="N34" s="32"/>
      <c r="O34" s="337"/>
      <c r="P34" s="338">
        <f>ROUND(AVERAGE(D34:O34),0)</f>
        <v>556</v>
      </c>
      <c r="R34" s="348"/>
      <c r="S34" s="327"/>
    </row>
    <row r="35" spans="2:19" ht="15.75" x14ac:dyDescent="0.25">
      <c r="B35" s="700"/>
      <c r="C35" s="332" t="s">
        <v>237</v>
      </c>
      <c r="D35" s="32">
        <v>1042</v>
      </c>
      <c r="E35" s="32">
        <v>1049</v>
      </c>
      <c r="F35" s="32">
        <v>1048</v>
      </c>
      <c r="G35" s="32">
        <v>1006</v>
      </c>
      <c r="H35" s="32">
        <v>977</v>
      </c>
      <c r="I35" s="32">
        <v>1016</v>
      </c>
      <c r="J35" s="32"/>
      <c r="K35" s="32"/>
      <c r="L35" s="32"/>
      <c r="M35" s="32"/>
      <c r="N35" s="32"/>
      <c r="O35" s="337"/>
      <c r="P35" s="338">
        <f>ROUND(AVERAGE(D35:O35),0)</f>
        <v>1023</v>
      </c>
      <c r="R35" s="348"/>
      <c r="S35" s="327"/>
    </row>
    <row r="36" spans="2:19" ht="15.75" x14ac:dyDescent="0.25">
      <c r="B36" s="700"/>
      <c r="C36" s="332" t="s">
        <v>238</v>
      </c>
      <c r="D36" s="32">
        <v>59339</v>
      </c>
      <c r="E36" s="32">
        <v>59750</v>
      </c>
      <c r="F36" s="32">
        <v>58838</v>
      </c>
      <c r="G36" s="32">
        <v>56418</v>
      </c>
      <c r="H36" s="32">
        <v>55316</v>
      </c>
      <c r="I36" s="32">
        <v>56296</v>
      </c>
      <c r="J36" s="32"/>
      <c r="K36" s="32"/>
      <c r="L36" s="32"/>
      <c r="M36" s="32"/>
      <c r="N36" s="32"/>
      <c r="O36" s="337"/>
      <c r="P36" s="338">
        <f>ROUND(AVERAGE(D36:O36),0)</f>
        <v>57660</v>
      </c>
      <c r="Q36" s="327"/>
      <c r="R36" s="348"/>
      <c r="S36" s="327"/>
    </row>
    <row r="37" spans="2:19" ht="15.75" x14ac:dyDescent="0.25">
      <c r="B37" s="700"/>
      <c r="C37" s="332" t="s">
        <v>239</v>
      </c>
      <c r="D37" s="32">
        <v>2202</v>
      </c>
      <c r="E37" s="32">
        <v>2234</v>
      </c>
      <c r="F37" s="32">
        <v>2244</v>
      </c>
      <c r="G37" s="32">
        <v>2171</v>
      </c>
      <c r="H37" s="32">
        <v>2104</v>
      </c>
      <c r="I37" s="32">
        <v>2108</v>
      </c>
      <c r="J37" s="32"/>
      <c r="K37" s="32"/>
      <c r="L37" s="32"/>
      <c r="M37" s="32"/>
      <c r="N37" s="32"/>
      <c r="O37" s="337"/>
      <c r="P37" s="338">
        <f>ROUND(AVERAGE(D37:O37),0)</f>
        <v>2177</v>
      </c>
      <c r="Q37" s="327"/>
      <c r="R37" s="348"/>
      <c r="S37" s="327"/>
    </row>
    <row r="38" spans="2:19" ht="19.5" thickBot="1" x14ac:dyDescent="0.3">
      <c r="B38" s="700"/>
      <c r="C38" s="333" t="s">
        <v>249</v>
      </c>
      <c r="D38" s="339">
        <v>261</v>
      </c>
      <c r="E38" s="339">
        <v>404</v>
      </c>
      <c r="F38" s="339">
        <v>440</v>
      </c>
      <c r="G38" s="339">
        <v>450</v>
      </c>
      <c r="H38" s="339">
        <v>402</v>
      </c>
      <c r="I38" s="339">
        <v>219</v>
      </c>
      <c r="J38" s="339"/>
      <c r="K38" s="339"/>
      <c r="L38" s="339"/>
      <c r="M38" s="339"/>
      <c r="N38" s="339"/>
      <c r="O38" s="340"/>
      <c r="P38" s="341">
        <f t="shared" si="2"/>
        <v>363</v>
      </c>
      <c r="R38" s="348"/>
      <c r="S38" s="327"/>
    </row>
    <row r="39" spans="2:19" ht="17.25" thickTop="1" thickBot="1" x14ac:dyDescent="0.3">
      <c r="B39" s="701"/>
      <c r="C39" s="342" t="s">
        <v>39</v>
      </c>
      <c r="D39" s="343">
        <v>78434</v>
      </c>
      <c r="E39" s="343">
        <v>79225</v>
      </c>
      <c r="F39" s="343">
        <v>78185</v>
      </c>
      <c r="G39" s="343">
        <v>75257</v>
      </c>
      <c r="H39" s="343">
        <v>73806</v>
      </c>
      <c r="I39" s="343">
        <v>75046</v>
      </c>
      <c r="J39" s="343"/>
      <c r="K39" s="343"/>
      <c r="L39" s="343"/>
      <c r="M39" s="343"/>
      <c r="N39" s="343"/>
      <c r="O39" s="344"/>
      <c r="P39" s="345">
        <f>ROUND(AVERAGE(D39:O39),0)</f>
        <v>76659</v>
      </c>
      <c r="Q39" s="17"/>
      <c r="R39" s="348"/>
      <c r="S39" s="327"/>
    </row>
    <row r="40" spans="2:19" ht="15.75" x14ac:dyDescent="0.25">
      <c r="B40" s="699" t="s">
        <v>301</v>
      </c>
      <c r="C40" s="331" t="s">
        <v>176</v>
      </c>
      <c r="D40" s="334">
        <v>113613</v>
      </c>
      <c r="E40" s="334">
        <v>124310</v>
      </c>
      <c r="F40" s="334">
        <v>122502</v>
      </c>
      <c r="G40" s="334">
        <v>115607</v>
      </c>
      <c r="H40" s="334">
        <v>112712</v>
      </c>
      <c r="I40" s="334">
        <v>114785</v>
      </c>
      <c r="J40" s="334"/>
      <c r="K40" s="334"/>
      <c r="L40" s="334"/>
      <c r="M40" s="334"/>
      <c r="N40" s="334"/>
      <c r="O40" s="335"/>
      <c r="P40" s="336">
        <f>ROUND(AVERAGE(D40:O40),0)</f>
        <v>117255</v>
      </c>
      <c r="Q40" s="327"/>
      <c r="R40" s="348"/>
      <c r="S40" s="327"/>
    </row>
    <row r="41" spans="2:19" ht="15.75" x14ac:dyDescent="0.25">
      <c r="B41" s="700"/>
      <c r="C41" s="332" t="s">
        <v>178</v>
      </c>
      <c r="D41" s="32">
        <v>106244</v>
      </c>
      <c r="E41" s="32">
        <v>117429</v>
      </c>
      <c r="F41" s="32">
        <v>115816</v>
      </c>
      <c r="G41" s="32">
        <v>110122</v>
      </c>
      <c r="H41" s="32">
        <v>107910</v>
      </c>
      <c r="I41" s="32">
        <v>110133</v>
      </c>
      <c r="J41" s="32"/>
      <c r="K41" s="32"/>
      <c r="L41" s="32"/>
      <c r="M41" s="32"/>
      <c r="N41" s="32"/>
      <c r="O41" s="337"/>
      <c r="P41" s="338">
        <f>ROUND(AVERAGE(D41:O41),0)</f>
        <v>111276</v>
      </c>
      <c r="Q41" s="327"/>
      <c r="R41" s="348"/>
      <c r="S41" s="327"/>
    </row>
    <row r="42" spans="2:19" ht="15.75" x14ac:dyDescent="0.25">
      <c r="B42" s="700"/>
      <c r="C42" s="332" t="s">
        <v>194</v>
      </c>
      <c r="D42" s="32">
        <v>21570</v>
      </c>
      <c r="E42" s="32">
        <v>23799</v>
      </c>
      <c r="F42" s="32">
        <v>23670</v>
      </c>
      <c r="G42" s="32">
        <v>22690</v>
      </c>
      <c r="H42" s="32">
        <v>22209</v>
      </c>
      <c r="I42" s="32">
        <v>22478</v>
      </c>
      <c r="J42" s="32"/>
      <c r="K42" s="32"/>
      <c r="L42" s="32"/>
      <c r="M42" s="32"/>
      <c r="N42" s="32"/>
      <c r="O42" s="337"/>
      <c r="P42" s="338">
        <f t="shared" ref="P42:P43" si="3">ROUND(AVERAGE(D42:O42),0)</f>
        <v>22736</v>
      </c>
      <c r="Q42" s="327"/>
      <c r="R42" s="348"/>
      <c r="S42" s="327"/>
    </row>
    <row r="43" spans="2:19" ht="19.5" thickBot="1" x14ac:dyDescent="0.3">
      <c r="B43" s="700"/>
      <c r="C43" s="333" t="s">
        <v>249</v>
      </c>
      <c r="D43" s="339">
        <v>1025</v>
      </c>
      <c r="E43" s="339">
        <v>1622</v>
      </c>
      <c r="F43" s="339">
        <v>1669</v>
      </c>
      <c r="G43" s="339">
        <v>1585</v>
      </c>
      <c r="H43" s="339">
        <v>1597</v>
      </c>
      <c r="I43" s="339">
        <v>1046</v>
      </c>
      <c r="J43" s="339"/>
      <c r="K43" s="339"/>
      <c r="L43" s="339"/>
      <c r="M43" s="339"/>
      <c r="N43" s="339"/>
      <c r="O43" s="340"/>
      <c r="P43" s="341">
        <f t="shared" si="3"/>
        <v>1424</v>
      </c>
      <c r="R43" s="348"/>
      <c r="S43" s="327"/>
    </row>
    <row r="44" spans="2:19" ht="17.25" thickTop="1" thickBot="1" x14ac:dyDescent="0.3">
      <c r="B44" s="701"/>
      <c r="C44" s="342" t="s">
        <v>39</v>
      </c>
      <c r="D44" s="343">
        <v>242452</v>
      </c>
      <c r="E44" s="343">
        <v>267160</v>
      </c>
      <c r="F44" s="343">
        <v>263657</v>
      </c>
      <c r="G44" s="343">
        <v>250004</v>
      </c>
      <c r="H44" s="343">
        <v>244428</v>
      </c>
      <c r="I44" s="343">
        <v>248442</v>
      </c>
      <c r="J44" s="343"/>
      <c r="K44" s="343"/>
      <c r="L44" s="343"/>
      <c r="M44" s="343"/>
      <c r="N44" s="343"/>
      <c r="O44" s="344"/>
      <c r="P44" s="345">
        <f t="shared" ref="P44:P64" si="4">ROUND(AVERAGE(D44:O44),0)</f>
        <v>252691</v>
      </c>
      <c r="Q44" s="17"/>
      <c r="R44" s="352"/>
      <c r="S44" s="327"/>
    </row>
    <row r="45" spans="2:19" ht="15.75" x14ac:dyDescent="0.25">
      <c r="B45" s="699" t="s">
        <v>243</v>
      </c>
      <c r="C45" s="331" t="s">
        <v>177</v>
      </c>
      <c r="D45" s="334">
        <v>6245</v>
      </c>
      <c r="E45" s="334">
        <v>6295</v>
      </c>
      <c r="F45" s="334">
        <v>6193</v>
      </c>
      <c r="G45" s="334">
        <v>6035</v>
      </c>
      <c r="H45" s="334">
        <v>5996</v>
      </c>
      <c r="I45" s="334">
        <v>6142</v>
      </c>
      <c r="J45" s="334"/>
      <c r="K45" s="334"/>
      <c r="L45" s="334"/>
      <c r="M45" s="334"/>
      <c r="N45" s="334"/>
      <c r="O45" s="335"/>
      <c r="P45" s="336">
        <f>ROUND(AVERAGE(D45:O45),0)</f>
        <v>6151</v>
      </c>
      <c r="Q45" s="352"/>
      <c r="R45" s="348"/>
      <c r="S45" s="327"/>
    </row>
    <row r="46" spans="2:19" ht="15.75" x14ac:dyDescent="0.25">
      <c r="B46" s="700"/>
      <c r="C46" s="332" t="s">
        <v>180</v>
      </c>
      <c r="D46" s="32">
        <v>1115</v>
      </c>
      <c r="E46" s="32">
        <v>1153</v>
      </c>
      <c r="F46" s="32">
        <v>1146</v>
      </c>
      <c r="G46" s="32">
        <v>1126</v>
      </c>
      <c r="H46" s="32">
        <v>1139</v>
      </c>
      <c r="I46" s="32">
        <v>1143</v>
      </c>
      <c r="J46" s="32"/>
      <c r="K46" s="32"/>
      <c r="L46" s="32"/>
      <c r="M46" s="32"/>
      <c r="N46" s="32"/>
      <c r="O46" s="337"/>
      <c r="P46" s="338">
        <f t="shared" si="4"/>
        <v>1137</v>
      </c>
      <c r="Q46" s="461"/>
      <c r="R46" s="348"/>
      <c r="S46" s="327"/>
    </row>
    <row r="47" spans="2:19" ht="15.75" x14ac:dyDescent="0.25">
      <c r="B47" s="700"/>
      <c r="C47" s="332" t="s">
        <v>181</v>
      </c>
      <c r="D47" s="32">
        <v>1530</v>
      </c>
      <c r="E47" s="32">
        <v>1553</v>
      </c>
      <c r="F47" s="32">
        <v>1543</v>
      </c>
      <c r="G47" s="32">
        <v>1501</v>
      </c>
      <c r="H47" s="32">
        <v>1478</v>
      </c>
      <c r="I47" s="32">
        <v>1510</v>
      </c>
      <c r="J47" s="32"/>
      <c r="K47" s="32"/>
      <c r="L47" s="32"/>
      <c r="M47" s="32"/>
      <c r="N47" s="32"/>
      <c r="O47" s="337"/>
      <c r="P47" s="338">
        <f t="shared" si="4"/>
        <v>1519</v>
      </c>
      <c r="R47" s="348"/>
      <c r="S47" s="327"/>
    </row>
    <row r="48" spans="2:19" ht="15.75" x14ac:dyDescent="0.25">
      <c r="B48" s="700"/>
      <c r="C48" s="332" t="s">
        <v>184</v>
      </c>
      <c r="D48" s="32">
        <v>3268</v>
      </c>
      <c r="E48" s="32">
        <v>3294</v>
      </c>
      <c r="F48" s="32">
        <v>3301</v>
      </c>
      <c r="G48" s="32">
        <v>3140</v>
      </c>
      <c r="H48" s="32">
        <v>3081</v>
      </c>
      <c r="I48" s="32">
        <v>3092</v>
      </c>
      <c r="J48" s="32"/>
      <c r="K48" s="32"/>
      <c r="L48" s="32"/>
      <c r="M48" s="32"/>
      <c r="N48" s="32"/>
      <c r="O48" s="337"/>
      <c r="P48" s="338">
        <f t="shared" ref="P48:P54" si="5">ROUND(AVERAGE(D48:O48),0)</f>
        <v>3196</v>
      </c>
      <c r="Q48" s="327"/>
      <c r="R48" s="348"/>
      <c r="S48" s="327"/>
    </row>
    <row r="49" spans="2:19" ht="15.75" x14ac:dyDescent="0.25">
      <c r="B49" s="700"/>
      <c r="C49" s="332" t="s">
        <v>187</v>
      </c>
      <c r="D49" s="32">
        <v>2971</v>
      </c>
      <c r="E49" s="32">
        <v>2963</v>
      </c>
      <c r="F49" s="32">
        <v>2922</v>
      </c>
      <c r="G49" s="32">
        <v>2871</v>
      </c>
      <c r="H49" s="32">
        <v>2832</v>
      </c>
      <c r="I49" s="32">
        <v>2849</v>
      </c>
      <c r="J49" s="32"/>
      <c r="K49" s="32"/>
      <c r="L49" s="32"/>
      <c r="M49" s="32"/>
      <c r="N49" s="32"/>
      <c r="O49" s="337"/>
      <c r="P49" s="338">
        <f t="shared" si="5"/>
        <v>2901</v>
      </c>
      <c r="Q49" s="327"/>
      <c r="R49" s="348"/>
      <c r="S49" s="327"/>
    </row>
    <row r="50" spans="2:19" ht="15.75" x14ac:dyDescent="0.25">
      <c r="B50" s="700"/>
      <c r="C50" s="332" t="s">
        <v>188</v>
      </c>
      <c r="D50" s="32">
        <v>1700</v>
      </c>
      <c r="E50" s="32">
        <v>1727</v>
      </c>
      <c r="F50" s="32">
        <v>1720</v>
      </c>
      <c r="G50" s="32">
        <v>1698</v>
      </c>
      <c r="H50" s="32">
        <v>1694</v>
      </c>
      <c r="I50" s="32">
        <v>1705</v>
      </c>
      <c r="J50" s="32"/>
      <c r="K50" s="32"/>
      <c r="L50" s="32"/>
      <c r="M50" s="32"/>
      <c r="N50" s="32"/>
      <c r="O50" s="337"/>
      <c r="P50" s="338">
        <f t="shared" si="5"/>
        <v>1707</v>
      </c>
      <c r="R50" s="348"/>
      <c r="S50" s="327"/>
    </row>
    <row r="51" spans="2:19" ht="15.75" x14ac:dyDescent="0.25">
      <c r="B51" s="700"/>
      <c r="C51" s="332" t="s">
        <v>189</v>
      </c>
      <c r="D51" s="32">
        <v>1264</v>
      </c>
      <c r="E51" s="32">
        <v>1288</v>
      </c>
      <c r="F51" s="32">
        <v>1278</v>
      </c>
      <c r="G51" s="32">
        <v>1265</v>
      </c>
      <c r="H51" s="32">
        <v>1265</v>
      </c>
      <c r="I51" s="32">
        <v>1284</v>
      </c>
      <c r="J51" s="32"/>
      <c r="K51" s="32"/>
      <c r="L51" s="32"/>
      <c r="M51" s="32"/>
      <c r="N51" s="32"/>
      <c r="O51" s="337"/>
      <c r="P51" s="338">
        <f t="shared" si="5"/>
        <v>1274</v>
      </c>
      <c r="R51" s="348"/>
      <c r="S51" s="327"/>
    </row>
    <row r="52" spans="2:19" ht="15.75" x14ac:dyDescent="0.25">
      <c r="B52" s="700"/>
      <c r="C52" s="332" t="s">
        <v>190</v>
      </c>
      <c r="D52" s="32">
        <v>791</v>
      </c>
      <c r="E52" s="32">
        <v>785</v>
      </c>
      <c r="F52" s="32">
        <v>766</v>
      </c>
      <c r="G52" s="32">
        <v>772</v>
      </c>
      <c r="H52" s="32">
        <v>761</v>
      </c>
      <c r="I52" s="32">
        <v>776</v>
      </c>
      <c r="J52" s="32"/>
      <c r="K52" s="32"/>
      <c r="L52" s="32"/>
      <c r="M52" s="32"/>
      <c r="N52" s="32"/>
      <c r="O52" s="337"/>
      <c r="P52" s="338">
        <f t="shared" si="5"/>
        <v>775</v>
      </c>
      <c r="R52" s="348"/>
      <c r="S52" s="327"/>
    </row>
    <row r="53" spans="2:19" ht="15.75" x14ac:dyDescent="0.25">
      <c r="B53" s="700"/>
      <c r="C53" s="332" t="s">
        <v>198</v>
      </c>
      <c r="D53" s="32">
        <v>11352</v>
      </c>
      <c r="E53" s="32">
        <v>11508</v>
      </c>
      <c r="F53" s="32">
        <v>11407</v>
      </c>
      <c r="G53" s="32">
        <v>11067</v>
      </c>
      <c r="H53" s="32">
        <v>10999</v>
      </c>
      <c r="I53" s="32">
        <v>11293</v>
      </c>
      <c r="J53" s="32"/>
      <c r="K53" s="32"/>
      <c r="L53" s="32"/>
      <c r="M53" s="32"/>
      <c r="N53" s="32"/>
      <c r="O53" s="337"/>
      <c r="P53" s="338">
        <f>ROUND(AVERAGE(D53:O53),0)</f>
        <v>11271</v>
      </c>
      <c r="Q53" s="327"/>
      <c r="R53" s="348"/>
      <c r="S53" s="327"/>
    </row>
    <row r="54" spans="2:19" ht="15.75" x14ac:dyDescent="0.25">
      <c r="B54" s="700"/>
      <c r="C54" s="332" t="s">
        <v>204</v>
      </c>
      <c r="D54" s="32">
        <v>2506</v>
      </c>
      <c r="E54" s="32">
        <v>2544</v>
      </c>
      <c r="F54" s="32">
        <v>2527</v>
      </c>
      <c r="G54" s="32">
        <v>2454</v>
      </c>
      <c r="H54" s="32">
        <v>2448</v>
      </c>
      <c r="I54" s="32">
        <v>2491</v>
      </c>
      <c r="J54" s="32"/>
      <c r="K54" s="32"/>
      <c r="L54" s="32"/>
      <c r="M54" s="32"/>
      <c r="N54" s="32"/>
      <c r="O54" s="337"/>
      <c r="P54" s="338">
        <f t="shared" si="5"/>
        <v>2495</v>
      </c>
      <c r="R54" s="348"/>
      <c r="S54" s="327"/>
    </row>
    <row r="55" spans="2:19" ht="15.75" x14ac:dyDescent="0.25">
      <c r="B55" s="700"/>
      <c r="C55" s="332" t="s">
        <v>207</v>
      </c>
      <c r="D55" s="32">
        <v>344</v>
      </c>
      <c r="E55" s="32">
        <v>346</v>
      </c>
      <c r="F55" s="32">
        <v>333</v>
      </c>
      <c r="G55" s="32">
        <v>324</v>
      </c>
      <c r="H55" s="32">
        <v>317</v>
      </c>
      <c r="I55" s="32">
        <v>328</v>
      </c>
      <c r="J55" s="32"/>
      <c r="K55" s="32"/>
      <c r="L55" s="32"/>
      <c r="M55" s="32"/>
      <c r="N55" s="32"/>
      <c r="O55" s="337"/>
      <c r="P55" s="338">
        <f t="shared" si="4"/>
        <v>332</v>
      </c>
      <c r="R55" s="348"/>
      <c r="S55" s="327"/>
    </row>
    <row r="56" spans="2:19" ht="15.75" x14ac:dyDescent="0.25">
      <c r="B56" s="700"/>
      <c r="C56" s="332" t="s">
        <v>210</v>
      </c>
      <c r="D56" s="32">
        <v>1322</v>
      </c>
      <c r="E56" s="32">
        <v>1364</v>
      </c>
      <c r="F56" s="32">
        <v>1336</v>
      </c>
      <c r="G56" s="32">
        <v>1247</v>
      </c>
      <c r="H56" s="32">
        <v>1250</v>
      </c>
      <c r="I56" s="32">
        <v>1245</v>
      </c>
      <c r="J56" s="32"/>
      <c r="K56" s="32"/>
      <c r="L56" s="32"/>
      <c r="M56" s="32"/>
      <c r="N56" s="32"/>
      <c r="O56" s="337"/>
      <c r="P56" s="338">
        <f t="shared" si="4"/>
        <v>1294</v>
      </c>
      <c r="R56" s="348"/>
      <c r="S56" s="327"/>
    </row>
    <row r="57" spans="2:19" ht="15.75" x14ac:dyDescent="0.25">
      <c r="B57" s="700"/>
      <c r="C57" s="332" t="s">
        <v>212</v>
      </c>
      <c r="D57" s="32">
        <v>5059</v>
      </c>
      <c r="E57" s="32">
        <v>5105</v>
      </c>
      <c r="F57" s="32">
        <v>5089</v>
      </c>
      <c r="G57" s="32">
        <v>4956</v>
      </c>
      <c r="H57" s="32">
        <v>4900</v>
      </c>
      <c r="I57" s="32">
        <v>4990</v>
      </c>
      <c r="J57" s="32"/>
      <c r="K57" s="32"/>
      <c r="L57" s="32"/>
      <c r="M57" s="32"/>
      <c r="N57" s="32"/>
      <c r="O57" s="337"/>
      <c r="P57" s="338">
        <f t="shared" si="4"/>
        <v>5017</v>
      </c>
      <c r="R57" s="348"/>
      <c r="S57" s="327"/>
    </row>
    <row r="58" spans="2:19" ht="15.75" x14ac:dyDescent="0.25">
      <c r="B58" s="700"/>
      <c r="C58" s="332" t="s">
        <v>216</v>
      </c>
      <c r="D58" s="32">
        <v>156</v>
      </c>
      <c r="E58" s="32">
        <v>158</v>
      </c>
      <c r="F58" s="32">
        <v>149</v>
      </c>
      <c r="G58" s="32">
        <v>143</v>
      </c>
      <c r="H58" s="32">
        <v>141</v>
      </c>
      <c r="I58" s="32">
        <v>145</v>
      </c>
      <c r="J58" s="32"/>
      <c r="K58" s="32"/>
      <c r="L58" s="32"/>
      <c r="M58" s="32"/>
      <c r="N58" s="32"/>
      <c r="O58" s="337"/>
      <c r="P58" s="338">
        <f t="shared" si="4"/>
        <v>149</v>
      </c>
      <c r="R58" s="348"/>
      <c r="S58" s="327"/>
    </row>
    <row r="59" spans="2:19" ht="15.75" x14ac:dyDescent="0.25">
      <c r="B59" s="700"/>
      <c r="C59" s="332" t="s">
        <v>221</v>
      </c>
      <c r="D59" s="32">
        <v>6847</v>
      </c>
      <c r="E59" s="32">
        <v>6914</v>
      </c>
      <c r="F59" s="32">
        <v>6893</v>
      </c>
      <c r="G59" s="32">
        <v>6720</v>
      </c>
      <c r="H59" s="32">
        <v>6654</v>
      </c>
      <c r="I59" s="32">
        <v>6750</v>
      </c>
      <c r="J59" s="32"/>
      <c r="K59" s="32"/>
      <c r="L59" s="32"/>
      <c r="M59" s="32"/>
      <c r="N59" s="32"/>
      <c r="O59" s="337"/>
      <c r="P59" s="338">
        <f>ROUND(AVERAGE(D59:O59),0)</f>
        <v>6796</v>
      </c>
      <c r="Q59" s="327"/>
      <c r="R59" s="348"/>
      <c r="S59" s="327"/>
    </row>
    <row r="60" spans="2:19" ht="15.75" x14ac:dyDescent="0.25">
      <c r="B60" s="700"/>
      <c r="C60" s="332" t="s">
        <v>226</v>
      </c>
      <c r="D60" s="32">
        <v>4472</v>
      </c>
      <c r="E60" s="32">
        <v>4475</v>
      </c>
      <c r="F60" s="32">
        <v>4400</v>
      </c>
      <c r="G60" s="32">
        <v>4270</v>
      </c>
      <c r="H60" s="32">
        <v>4156</v>
      </c>
      <c r="I60" s="32">
        <v>4250</v>
      </c>
      <c r="J60" s="32"/>
      <c r="K60" s="32"/>
      <c r="L60" s="32"/>
      <c r="M60" s="32"/>
      <c r="N60" s="32"/>
      <c r="O60" s="337"/>
      <c r="P60" s="338">
        <f>ROUND(AVERAGE(D60:O60),0)</f>
        <v>4337</v>
      </c>
      <c r="R60" s="348"/>
      <c r="S60" s="327"/>
    </row>
    <row r="61" spans="2:19" ht="15.75" x14ac:dyDescent="0.25">
      <c r="B61" s="700"/>
      <c r="C61" s="332" t="s">
        <v>227</v>
      </c>
      <c r="D61" s="32">
        <v>60588</v>
      </c>
      <c r="E61" s="32">
        <v>61268</v>
      </c>
      <c r="F61" s="32">
        <v>60935</v>
      </c>
      <c r="G61" s="32">
        <v>59131</v>
      </c>
      <c r="H61" s="32">
        <v>58307</v>
      </c>
      <c r="I61" s="32">
        <v>59170</v>
      </c>
      <c r="J61" s="32"/>
      <c r="K61" s="32"/>
      <c r="L61" s="32"/>
      <c r="M61" s="32"/>
      <c r="N61" s="32"/>
      <c r="O61" s="337"/>
      <c r="P61" s="338">
        <f>ROUND(AVERAGE(D61:O61),0)</f>
        <v>59900</v>
      </c>
      <c r="Q61" s="327"/>
      <c r="R61" s="348"/>
      <c r="S61" s="327"/>
    </row>
    <row r="62" spans="2:19" ht="15.75" x14ac:dyDescent="0.25">
      <c r="B62" s="700"/>
      <c r="C62" s="332" t="s">
        <v>229</v>
      </c>
      <c r="D62" s="32">
        <v>3935</v>
      </c>
      <c r="E62" s="32">
        <v>3978</v>
      </c>
      <c r="F62" s="32">
        <v>3914</v>
      </c>
      <c r="G62" s="32">
        <v>3815</v>
      </c>
      <c r="H62" s="32">
        <v>3739</v>
      </c>
      <c r="I62" s="32">
        <v>3766</v>
      </c>
      <c r="J62" s="32"/>
      <c r="K62" s="32"/>
      <c r="L62" s="32"/>
      <c r="M62" s="32"/>
      <c r="N62" s="32"/>
      <c r="O62" s="337"/>
      <c r="P62" s="338">
        <f>ROUND(AVERAGE(D62:O62),0)</f>
        <v>3858</v>
      </c>
      <c r="Q62" s="327"/>
      <c r="R62" s="348"/>
      <c r="S62" s="327"/>
    </row>
    <row r="63" spans="2:19" ht="15.75" x14ac:dyDescent="0.25">
      <c r="B63" s="700"/>
      <c r="C63" s="332" t="s">
        <v>231</v>
      </c>
      <c r="D63" s="32">
        <v>1923</v>
      </c>
      <c r="E63" s="32">
        <v>1916</v>
      </c>
      <c r="F63" s="32">
        <v>1916</v>
      </c>
      <c r="G63" s="32">
        <v>1882</v>
      </c>
      <c r="H63" s="32">
        <v>1848</v>
      </c>
      <c r="I63" s="32">
        <v>1866</v>
      </c>
      <c r="J63" s="32"/>
      <c r="K63" s="32"/>
      <c r="L63" s="32"/>
      <c r="M63" s="32"/>
      <c r="N63" s="32"/>
      <c r="O63" s="337"/>
      <c r="P63" s="338">
        <f>ROUND(AVERAGE(D63:O63),0)</f>
        <v>1892</v>
      </c>
      <c r="Q63" s="327"/>
      <c r="R63" s="348"/>
      <c r="S63" s="327"/>
    </row>
    <row r="64" spans="2:19" ht="19.5" thickBot="1" x14ac:dyDescent="0.3">
      <c r="B64" s="700"/>
      <c r="C64" s="333" t="s">
        <v>249</v>
      </c>
      <c r="D64" s="339">
        <v>328</v>
      </c>
      <c r="E64" s="339">
        <v>506</v>
      </c>
      <c r="F64" s="339">
        <v>510</v>
      </c>
      <c r="G64" s="339">
        <v>471</v>
      </c>
      <c r="H64" s="339">
        <v>480</v>
      </c>
      <c r="I64" s="339">
        <v>297</v>
      </c>
      <c r="J64" s="339"/>
      <c r="K64" s="339"/>
      <c r="L64" s="339"/>
      <c r="M64" s="339"/>
      <c r="N64" s="339"/>
      <c r="O64" s="340"/>
      <c r="P64" s="341">
        <f t="shared" si="4"/>
        <v>432</v>
      </c>
      <c r="R64" s="348"/>
      <c r="S64" s="327"/>
    </row>
    <row r="65" spans="2:23" ht="17.25" thickTop="1" thickBot="1" x14ac:dyDescent="0.3">
      <c r="B65" s="701"/>
      <c r="C65" s="342" t="s">
        <v>39</v>
      </c>
      <c r="D65" s="343">
        <v>117716</v>
      </c>
      <c r="E65" s="343">
        <v>119140</v>
      </c>
      <c r="F65" s="343">
        <v>118278</v>
      </c>
      <c r="G65" s="343">
        <v>114888</v>
      </c>
      <c r="H65" s="343">
        <v>113485</v>
      </c>
      <c r="I65" s="343">
        <v>115092</v>
      </c>
      <c r="J65" s="343"/>
      <c r="K65" s="343"/>
      <c r="L65" s="343"/>
      <c r="M65" s="343"/>
      <c r="N65" s="343"/>
      <c r="O65" s="344"/>
      <c r="P65" s="345">
        <f>ROUND(AVERAGE(D65:O65),0)</f>
        <v>116433</v>
      </c>
      <c r="Q65" s="17"/>
      <c r="R65" s="348"/>
      <c r="S65" s="327"/>
    </row>
    <row r="66" spans="2:23" ht="15.75" x14ac:dyDescent="0.25">
      <c r="B66" s="699" t="s">
        <v>244</v>
      </c>
      <c r="C66" s="331" t="s">
        <v>192</v>
      </c>
      <c r="D66" s="334">
        <v>111483</v>
      </c>
      <c r="E66" s="334">
        <v>111518</v>
      </c>
      <c r="F66" s="334">
        <v>109585</v>
      </c>
      <c r="G66" s="334">
        <v>103825</v>
      </c>
      <c r="H66" s="334">
        <v>102032</v>
      </c>
      <c r="I66" s="334">
        <v>104856</v>
      </c>
      <c r="J66" s="334"/>
      <c r="K66" s="334"/>
      <c r="L66" s="334"/>
      <c r="M66" s="334"/>
      <c r="N66" s="334"/>
      <c r="O66" s="335"/>
      <c r="P66" s="336">
        <f>ROUND(AVERAGE(D66:O66),0)</f>
        <v>107217</v>
      </c>
      <c r="Q66" s="327"/>
      <c r="R66" s="348"/>
      <c r="S66" s="327"/>
      <c r="W66" s="329"/>
    </row>
    <row r="67" spans="2:23" ht="19.5" thickBot="1" x14ac:dyDescent="0.3">
      <c r="B67" s="700"/>
      <c r="C67" s="333" t="s">
        <v>249</v>
      </c>
      <c r="D67" s="339">
        <v>644</v>
      </c>
      <c r="E67" s="339">
        <v>809</v>
      </c>
      <c r="F67" s="339">
        <v>753</v>
      </c>
      <c r="G67" s="339">
        <v>707</v>
      </c>
      <c r="H67" s="339">
        <v>767</v>
      </c>
      <c r="I67" s="339">
        <v>922</v>
      </c>
      <c r="J67" s="339"/>
      <c r="K67" s="339"/>
      <c r="L67" s="339"/>
      <c r="M67" s="339"/>
      <c r="N67" s="339"/>
      <c r="O67" s="340"/>
      <c r="P67" s="341">
        <f>ROUND(AVERAGE(D67:O67),0)</f>
        <v>767</v>
      </c>
      <c r="R67" s="348"/>
      <c r="S67" s="327"/>
    </row>
    <row r="68" spans="2:23" ht="17.25" thickTop="1" thickBot="1" x14ac:dyDescent="0.3">
      <c r="B68" s="701"/>
      <c r="C68" s="342" t="s">
        <v>39</v>
      </c>
      <c r="D68" s="343">
        <v>112127</v>
      </c>
      <c r="E68" s="343">
        <v>112327</v>
      </c>
      <c r="F68" s="343">
        <v>110338</v>
      </c>
      <c r="G68" s="343">
        <v>104532</v>
      </c>
      <c r="H68" s="343">
        <v>102799</v>
      </c>
      <c r="I68" s="343">
        <v>105778</v>
      </c>
      <c r="J68" s="343"/>
      <c r="K68" s="343"/>
      <c r="L68" s="343"/>
      <c r="M68" s="343"/>
      <c r="N68" s="343"/>
      <c r="O68" s="344"/>
      <c r="P68" s="345">
        <f t="shared" ref="P68:P74" si="6">ROUND(AVERAGE(D68:O68),0)</f>
        <v>107984</v>
      </c>
      <c r="Q68" s="17"/>
      <c r="R68" s="348"/>
      <c r="S68" s="327"/>
    </row>
    <row r="69" spans="2:23" ht="15.75" x14ac:dyDescent="0.25">
      <c r="B69" s="699" t="s">
        <v>245</v>
      </c>
      <c r="C69" s="331" t="s">
        <v>182</v>
      </c>
      <c r="D69" s="334">
        <v>45423</v>
      </c>
      <c r="E69" s="334">
        <v>45830</v>
      </c>
      <c r="F69" s="334">
        <v>45359</v>
      </c>
      <c r="G69" s="334">
        <v>43220</v>
      </c>
      <c r="H69" s="334">
        <v>42487</v>
      </c>
      <c r="I69" s="334">
        <v>42869</v>
      </c>
      <c r="J69" s="334"/>
      <c r="K69" s="334"/>
      <c r="L69" s="334"/>
      <c r="M69" s="334"/>
      <c r="N69" s="334"/>
      <c r="O69" s="335"/>
      <c r="P69" s="336">
        <f>ROUND(AVERAGE(D69:O69),0)</f>
        <v>44198</v>
      </c>
      <c r="Q69" s="327"/>
      <c r="R69" s="348"/>
      <c r="S69" s="327"/>
    </row>
    <row r="70" spans="2:23" ht="15.75" x14ac:dyDescent="0.25">
      <c r="B70" s="700"/>
      <c r="C70" s="332" t="s">
        <v>183</v>
      </c>
      <c r="D70" s="32">
        <v>5522</v>
      </c>
      <c r="E70" s="32">
        <v>5578</v>
      </c>
      <c r="F70" s="32">
        <v>5565</v>
      </c>
      <c r="G70" s="32">
        <v>5382</v>
      </c>
      <c r="H70" s="32">
        <v>5335</v>
      </c>
      <c r="I70" s="32">
        <v>5560</v>
      </c>
      <c r="J70" s="32"/>
      <c r="K70" s="32"/>
      <c r="L70" s="32"/>
      <c r="M70" s="32"/>
      <c r="N70" s="32"/>
      <c r="O70" s="337"/>
      <c r="P70" s="338">
        <f>ROUNDUP(AVERAGE(D70:O70),0)</f>
        <v>5491</v>
      </c>
      <c r="Q70" s="327"/>
      <c r="R70" s="348"/>
      <c r="S70" s="327"/>
    </row>
    <row r="71" spans="2:23" ht="15.75" x14ac:dyDescent="0.25">
      <c r="B71" s="700"/>
      <c r="C71" s="332" t="s">
        <v>186</v>
      </c>
      <c r="D71" s="32">
        <v>1374</v>
      </c>
      <c r="E71" s="32">
        <v>1379</v>
      </c>
      <c r="F71" s="32">
        <v>1368</v>
      </c>
      <c r="G71" s="32">
        <v>1314</v>
      </c>
      <c r="H71" s="32">
        <v>1277</v>
      </c>
      <c r="I71" s="32">
        <v>1283</v>
      </c>
      <c r="J71" s="32"/>
      <c r="K71" s="32"/>
      <c r="L71" s="32"/>
      <c r="M71" s="32"/>
      <c r="N71" s="32"/>
      <c r="O71" s="337"/>
      <c r="P71" s="338">
        <f t="shared" si="6"/>
        <v>1333</v>
      </c>
      <c r="Q71" s="327"/>
      <c r="R71" s="348"/>
      <c r="S71" s="327"/>
    </row>
    <row r="72" spans="2:23" ht="15.75" x14ac:dyDescent="0.25">
      <c r="B72" s="700"/>
      <c r="C72" s="332" t="s">
        <v>200</v>
      </c>
      <c r="D72" s="32">
        <v>821</v>
      </c>
      <c r="E72" s="32">
        <v>853</v>
      </c>
      <c r="F72" s="32">
        <v>845</v>
      </c>
      <c r="G72" s="32">
        <v>815</v>
      </c>
      <c r="H72" s="32">
        <v>798</v>
      </c>
      <c r="I72" s="32">
        <v>796</v>
      </c>
      <c r="J72" s="32"/>
      <c r="K72" s="32"/>
      <c r="L72" s="32"/>
      <c r="M72" s="32"/>
      <c r="N72" s="32"/>
      <c r="O72" s="337"/>
      <c r="P72" s="338">
        <f t="shared" si="6"/>
        <v>821</v>
      </c>
      <c r="Q72" s="327"/>
      <c r="R72" s="348"/>
      <c r="S72" s="327"/>
    </row>
    <row r="73" spans="2:23" ht="15.75" x14ac:dyDescent="0.25">
      <c r="B73" s="700"/>
      <c r="C73" s="332" t="s">
        <v>206</v>
      </c>
      <c r="D73" s="32">
        <v>79941</v>
      </c>
      <c r="E73" s="32">
        <v>80970</v>
      </c>
      <c r="F73" s="32">
        <v>79962</v>
      </c>
      <c r="G73" s="32">
        <v>75693</v>
      </c>
      <c r="H73" s="32">
        <v>73893</v>
      </c>
      <c r="I73" s="32">
        <v>74746</v>
      </c>
      <c r="J73" s="32"/>
      <c r="K73" s="32"/>
      <c r="L73" s="32"/>
      <c r="M73" s="32"/>
      <c r="N73" s="32"/>
      <c r="O73" s="337"/>
      <c r="P73" s="338">
        <f>ROUND(AVERAGE(D73:O73),0)</f>
        <v>77534</v>
      </c>
      <c r="Q73" s="327"/>
      <c r="R73" s="348"/>
      <c r="S73" s="327"/>
    </row>
    <row r="74" spans="2:23" ht="19.5" thickBot="1" x14ac:dyDescent="0.3">
      <c r="B74" s="700"/>
      <c r="C74" s="333" t="s">
        <v>249</v>
      </c>
      <c r="D74" s="339">
        <v>675</v>
      </c>
      <c r="E74" s="339">
        <v>1020</v>
      </c>
      <c r="F74" s="339">
        <v>1002</v>
      </c>
      <c r="G74" s="339">
        <v>905</v>
      </c>
      <c r="H74" s="339">
        <v>962</v>
      </c>
      <c r="I74" s="339">
        <v>717</v>
      </c>
      <c r="J74" s="339"/>
      <c r="K74" s="339"/>
      <c r="L74" s="339"/>
      <c r="M74" s="339"/>
      <c r="N74" s="339"/>
      <c r="O74" s="340"/>
      <c r="P74" s="341">
        <f t="shared" si="6"/>
        <v>880</v>
      </c>
      <c r="Q74" s="327"/>
      <c r="R74" s="348"/>
      <c r="S74" s="327"/>
    </row>
    <row r="75" spans="2:23" ht="17.25" thickTop="1" thickBot="1" x14ac:dyDescent="0.3">
      <c r="B75" s="701"/>
      <c r="C75" s="342" t="s">
        <v>39</v>
      </c>
      <c r="D75" s="343">
        <v>133756</v>
      </c>
      <c r="E75" s="343">
        <v>135630</v>
      </c>
      <c r="F75" s="343">
        <v>134101</v>
      </c>
      <c r="G75" s="343">
        <v>127329</v>
      </c>
      <c r="H75" s="343">
        <v>124752</v>
      </c>
      <c r="I75" s="343">
        <v>125971</v>
      </c>
      <c r="J75" s="343"/>
      <c r="K75" s="343"/>
      <c r="L75" s="343"/>
      <c r="M75" s="343"/>
      <c r="N75" s="343"/>
      <c r="O75" s="344"/>
      <c r="P75" s="345">
        <f>ROUND(AVERAGE(D75:O75),0)</f>
        <v>130257</v>
      </c>
      <c r="Q75" s="17"/>
      <c r="R75" s="348"/>
      <c r="S75" s="327"/>
    </row>
    <row r="76" spans="2:23" ht="15.75" x14ac:dyDescent="0.25">
      <c r="B76" s="699" t="s">
        <v>246</v>
      </c>
      <c r="C76" s="331" t="s">
        <v>196</v>
      </c>
      <c r="D76" s="334">
        <v>163279</v>
      </c>
      <c r="E76" s="334">
        <v>165898</v>
      </c>
      <c r="F76" s="334">
        <v>164838</v>
      </c>
      <c r="G76" s="334">
        <v>158315</v>
      </c>
      <c r="H76" s="334">
        <v>156285</v>
      </c>
      <c r="I76" s="334">
        <v>158472</v>
      </c>
      <c r="J76" s="334"/>
      <c r="K76" s="334"/>
      <c r="L76" s="334"/>
      <c r="M76" s="334"/>
      <c r="N76" s="334"/>
      <c r="O76" s="335"/>
      <c r="P76" s="336">
        <f>ROUND(AVERAGE(D76:O76),0)</f>
        <v>161181</v>
      </c>
      <c r="Q76" s="327"/>
      <c r="R76" s="348"/>
      <c r="S76" s="327"/>
    </row>
    <row r="77" spans="2:23" ht="15.75" x14ac:dyDescent="0.25">
      <c r="B77" s="700"/>
      <c r="C77" s="332" t="s">
        <v>197</v>
      </c>
      <c r="D77" s="32">
        <v>2669</v>
      </c>
      <c r="E77" s="32">
        <v>2736</v>
      </c>
      <c r="F77" s="32">
        <v>2694</v>
      </c>
      <c r="G77" s="32">
        <v>2594</v>
      </c>
      <c r="H77" s="32">
        <v>2500</v>
      </c>
      <c r="I77" s="32">
        <v>2565</v>
      </c>
      <c r="J77" s="32"/>
      <c r="K77" s="32"/>
      <c r="L77" s="32"/>
      <c r="M77" s="32"/>
      <c r="N77" s="32"/>
      <c r="O77" s="337"/>
      <c r="P77" s="338">
        <f>ROUND(AVERAGE(D77:O77),0)</f>
        <v>2626</v>
      </c>
      <c r="Q77" s="327"/>
      <c r="R77" s="348"/>
      <c r="S77" s="327"/>
    </row>
    <row r="78" spans="2:23" ht="15.75" x14ac:dyDescent="0.25">
      <c r="B78" s="700"/>
      <c r="C78" s="332" t="s">
        <v>223</v>
      </c>
      <c r="D78" s="32">
        <v>2768</v>
      </c>
      <c r="E78" s="32">
        <v>2818</v>
      </c>
      <c r="F78" s="32">
        <v>2780</v>
      </c>
      <c r="G78" s="32">
        <v>2661</v>
      </c>
      <c r="H78" s="32">
        <v>2617</v>
      </c>
      <c r="I78" s="32">
        <v>2686</v>
      </c>
      <c r="J78" s="32"/>
      <c r="K78" s="32"/>
      <c r="L78" s="32"/>
      <c r="M78" s="32"/>
      <c r="N78" s="32"/>
      <c r="O78" s="337"/>
      <c r="P78" s="338">
        <f t="shared" ref="P78" si="7">ROUND(AVERAGE(D78:O78),0)</f>
        <v>2722</v>
      </c>
      <c r="Q78" s="327"/>
      <c r="R78" s="348"/>
      <c r="S78" s="327"/>
    </row>
    <row r="79" spans="2:23" ht="15.75" x14ac:dyDescent="0.25">
      <c r="B79" s="700"/>
      <c r="C79" s="332" t="s">
        <v>236</v>
      </c>
      <c r="D79" s="32">
        <v>4971</v>
      </c>
      <c r="E79" s="32">
        <v>5009</v>
      </c>
      <c r="F79" s="32">
        <v>4951</v>
      </c>
      <c r="G79" s="32">
        <v>4770</v>
      </c>
      <c r="H79" s="32">
        <v>4789</v>
      </c>
      <c r="I79" s="32">
        <v>4801</v>
      </c>
      <c r="J79" s="32"/>
      <c r="K79" s="32"/>
      <c r="L79" s="32"/>
      <c r="M79" s="32"/>
      <c r="N79" s="32"/>
      <c r="O79" s="337"/>
      <c r="P79" s="338">
        <f>ROUND(AVERAGE(D79:O79),0)</f>
        <v>4882</v>
      </c>
      <c r="Q79" s="327"/>
      <c r="R79" s="348"/>
      <c r="S79" s="327"/>
    </row>
    <row r="80" spans="2:23" ht="19.5" thickBot="1" x14ac:dyDescent="0.3">
      <c r="B80" s="700"/>
      <c r="C80" s="333" t="s">
        <v>249</v>
      </c>
      <c r="D80" s="339">
        <v>398</v>
      </c>
      <c r="E80" s="339">
        <v>501</v>
      </c>
      <c r="F80" s="339">
        <v>550</v>
      </c>
      <c r="G80" s="339">
        <v>540</v>
      </c>
      <c r="H80" s="339">
        <v>507</v>
      </c>
      <c r="I80" s="339">
        <v>358</v>
      </c>
      <c r="J80" s="339"/>
      <c r="K80" s="339"/>
      <c r="L80" s="339"/>
      <c r="M80" s="339"/>
      <c r="N80" s="339"/>
      <c r="O80" s="340"/>
      <c r="P80" s="341">
        <f t="shared" ref="P80" si="8">ROUND(AVERAGE(D80:O80),0)</f>
        <v>476</v>
      </c>
      <c r="R80" s="348"/>
      <c r="S80" s="327"/>
    </row>
    <row r="81" spans="2:19" ht="17.25" thickTop="1" thickBot="1" x14ac:dyDescent="0.3">
      <c r="B81" s="701"/>
      <c r="C81" s="342" t="s">
        <v>39</v>
      </c>
      <c r="D81" s="343">
        <v>174085</v>
      </c>
      <c r="E81" s="343">
        <v>176962</v>
      </c>
      <c r="F81" s="343">
        <v>175813</v>
      </c>
      <c r="G81" s="343">
        <v>168880</v>
      </c>
      <c r="H81" s="343">
        <v>166698</v>
      </c>
      <c r="I81" s="343">
        <v>168882</v>
      </c>
      <c r="J81" s="343"/>
      <c r="K81" s="343"/>
      <c r="L81" s="343"/>
      <c r="M81" s="343"/>
      <c r="N81" s="343"/>
      <c r="O81" s="344"/>
      <c r="P81" s="345">
        <f>ROUND(AVERAGE(D81:O81),0)</f>
        <v>171887</v>
      </c>
      <c r="Q81" s="17"/>
      <c r="R81" s="352"/>
      <c r="S81" s="327"/>
    </row>
    <row r="82" spans="2:19" ht="5.25" customHeight="1" thickBot="1" x14ac:dyDescent="0.3">
      <c r="B82" s="360"/>
      <c r="C82" s="361"/>
      <c r="D82" s="362"/>
      <c r="E82" s="362"/>
      <c r="F82" s="362"/>
      <c r="G82" s="362"/>
      <c r="H82" s="362"/>
      <c r="I82" s="362"/>
      <c r="J82" s="362"/>
      <c r="K82" s="362"/>
      <c r="L82" s="362"/>
      <c r="M82" s="362"/>
      <c r="N82" s="362"/>
      <c r="O82" s="362"/>
      <c r="P82" s="363"/>
      <c r="R82" s="348"/>
      <c r="S82" s="327"/>
    </row>
    <row r="83" spans="2:19" ht="16.5" thickBot="1" x14ac:dyDescent="0.3">
      <c r="B83" s="705" t="s">
        <v>247</v>
      </c>
      <c r="C83" s="706"/>
      <c r="D83" s="346">
        <f t="shared" ref="D83" si="9">SUM(D81,D75,D68,D65,D44,D39,D27)</f>
        <v>1033790</v>
      </c>
      <c r="E83" s="346">
        <f t="shared" ref="E83" si="10">SUM(E81,E75,E68,E65,E44,E39,E27)</f>
        <v>1067495</v>
      </c>
      <c r="F83" s="346">
        <f>SUM(F81,F75,F68,F65,F44,F39,F27)</f>
        <v>1055444</v>
      </c>
      <c r="G83" s="346">
        <f t="shared" ref="G83:I83" si="11">SUM(G81,G75,G68,G65,G44,G39,G27)</f>
        <v>1009299</v>
      </c>
      <c r="H83" s="346">
        <f t="shared" si="11"/>
        <v>992145</v>
      </c>
      <c r="I83" s="346">
        <f t="shared" si="11"/>
        <v>1007150</v>
      </c>
      <c r="J83" s="346"/>
      <c r="K83" s="346"/>
      <c r="L83" s="346"/>
      <c r="M83" s="346"/>
      <c r="N83" s="346"/>
      <c r="O83" s="346"/>
      <c r="P83" s="347">
        <f>ROUND(AVERAGE(D83:O83),0)</f>
        <v>1027554</v>
      </c>
      <c r="Q83" s="17"/>
      <c r="R83" s="348"/>
      <c r="S83" s="327"/>
    </row>
    <row r="84" spans="2:19" ht="15.75" x14ac:dyDescent="0.25">
      <c r="B84" s="702" t="s">
        <v>248</v>
      </c>
      <c r="C84" s="703"/>
      <c r="D84" s="703"/>
      <c r="E84" s="703"/>
      <c r="F84" s="703"/>
      <c r="G84" s="703"/>
      <c r="H84" s="703"/>
      <c r="I84" s="703"/>
      <c r="J84" s="703"/>
      <c r="K84" s="703"/>
      <c r="L84" s="703"/>
      <c r="M84" s="703"/>
      <c r="N84" s="703"/>
      <c r="O84" s="703"/>
      <c r="P84" s="704"/>
      <c r="R84" s="348"/>
    </row>
    <row r="85" spans="2:19" ht="16.5" thickBot="1" x14ac:dyDescent="0.3">
      <c r="B85" s="693" t="s">
        <v>296</v>
      </c>
      <c r="C85" s="694"/>
      <c r="D85" s="694"/>
      <c r="E85" s="694"/>
      <c r="F85" s="694"/>
      <c r="G85" s="694"/>
      <c r="H85" s="694"/>
      <c r="I85" s="694"/>
      <c r="J85" s="694"/>
      <c r="K85" s="694"/>
      <c r="L85" s="694"/>
      <c r="M85" s="694"/>
      <c r="N85" s="694"/>
      <c r="O85" s="694"/>
      <c r="P85" s="695"/>
      <c r="R85" s="348"/>
    </row>
    <row r="86" spans="2:19" ht="15.75" x14ac:dyDescent="0.25">
      <c r="D86" s="349"/>
      <c r="E86" s="349"/>
      <c r="F86" s="349"/>
      <c r="G86" s="349"/>
      <c r="H86" s="349"/>
      <c r="I86" s="349"/>
      <c r="J86" s="349"/>
      <c r="K86" s="349"/>
      <c r="L86" s="349"/>
      <c r="M86" s="349"/>
      <c r="N86" s="349"/>
      <c r="O86" s="349"/>
      <c r="P86" s="17"/>
    </row>
    <row r="94" spans="2:19" x14ac:dyDescent="0.2">
      <c r="J94" s="329"/>
    </row>
  </sheetData>
  <mergeCells count="11">
    <mergeCell ref="B85:P85"/>
    <mergeCell ref="B2:P2"/>
    <mergeCell ref="B4:B27"/>
    <mergeCell ref="B28:B39"/>
    <mergeCell ref="B40:B44"/>
    <mergeCell ref="B84:P84"/>
    <mergeCell ref="B45:B65"/>
    <mergeCell ref="B66:B68"/>
    <mergeCell ref="B69:B75"/>
    <mergeCell ref="B76:B81"/>
    <mergeCell ref="B83:C83"/>
  </mergeCells>
  <conditionalFormatting sqref="D4:P83">
    <cfRule type="expression" dxfId="1" priority="1">
      <formula>D4="NR"</formula>
    </cfRule>
  </conditionalFormatting>
  <printOptions horizontalCentered="1" gridLines="1"/>
  <pageMargins left="0.7" right="0.7" top="0.75" bottom="0.75" header="0.3" footer="0.3"/>
  <pageSetup scale="66" fitToHeight="3" orientation="landscape" r:id="rId1"/>
  <headerFooter>
    <oddHeader>&amp;C&amp;"Times New Roman,Bold"&amp;12Department of Health Care Policy and Financing
FY 2017-18 Medical Premiums Expenditure and Caseload Report</oddHeader>
    <oddFooter>&amp;L&amp;"Times New Roman,Bold"&amp;12Page &amp;P</oddFooter>
  </headerFooter>
  <rowBreaks count="1" manualBreakCount="1">
    <brk id="44" min="1"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M61"/>
  <sheetViews>
    <sheetView view="pageBreakPreview" zoomScaleNormal="100" zoomScaleSheetLayoutView="100" workbookViewId="0">
      <selection activeCell="I68" sqref="I68"/>
    </sheetView>
  </sheetViews>
  <sheetFormatPr defaultColWidth="9.140625" defaultRowHeight="15.75" x14ac:dyDescent="0.25"/>
  <cols>
    <col min="1" max="1" width="36.42578125" style="161" customWidth="1"/>
    <col min="2" max="2" width="42.28515625" style="161" customWidth="1"/>
    <col min="3" max="3" width="26.7109375" style="161" customWidth="1"/>
    <col min="4" max="5" width="24.5703125" style="161" customWidth="1"/>
    <col min="6" max="6" width="15.85546875" style="161" customWidth="1"/>
    <col min="7" max="7" width="25.28515625" style="161" customWidth="1"/>
    <col min="8" max="8" width="14.85546875" style="161" bestFit="1" customWidth="1"/>
    <col min="9" max="9" width="13" style="161" bestFit="1" customWidth="1"/>
    <col min="10" max="10" width="8.7109375" style="161" bestFit="1" customWidth="1"/>
    <col min="11" max="12" width="9.140625" style="161"/>
    <col min="13" max="13" width="11.5703125" style="161" bestFit="1" customWidth="1"/>
    <col min="14" max="14" width="9.140625" style="161"/>
    <col min="15" max="15" width="9.28515625" style="161" bestFit="1" customWidth="1"/>
    <col min="16" max="16384" width="9.140625" style="161"/>
  </cols>
  <sheetData>
    <row r="1" spans="1:13" ht="21" customHeight="1" x14ac:dyDescent="0.25">
      <c r="A1" s="707" t="s">
        <v>337</v>
      </c>
      <c r="B1" s="708"/>
      <c r="C1" s="708"/>
      <c r="D1" s="709"/>
      <c r="E1" s="354"/>
      <c r="F1" s="354"/>
      <c r="G1" s="79"/>
      <c r="H1" s="173"/>
    </row>
    <row r="2" spans="1:13" ht="31.5" x14ac:dyDescent="0.25">
      <c r="A2" s="523"/>
      <c r="B2" s="565" t="s">
        <v>77</v>
      </c>
      <c r="C2" s="566" t="s">
        <v>30</v>
      </c>
      <c r="D2" s="567" t="s">
        <v>31</v>
      </c>
      <c r="E2" s="355"/>
      <c r="F2" s="355"/>
      <c r="G2" s="162"/>
      <c r="H2" s="173"/>
    </row>
    <row r="3" spans="1:13" x14ac:dyDescent="0.25">
      <c r="A3" s="242" t="s">
        <v>3</v>
      </c>
      <c r="B3" s="20">
        <f t="shared" ref="B3:B8" si="0">C3+D3</f>
        <v>49555280</v>
      </c>
      <c r="C3" s="21">
        <v>49547889</v>
      </c>
      <c r="D3" s="524">
        <v>7391</v>
      </c>
      <c r="E3" s="247"/>
      <c r="F3" s="247"/>
      <c r="G3" s="247"/>
      <c r="H3" s="15"/>
      <c r="I3" s="163"/>
      <c r="J3" s="163"/>
    </row>
    <row r="4" spans="1:13" x14ac:dyDescent="0.25">
      <c r="A4" s="242" t="s">
        <v>4</v>
      </c>
      <c r="B4" s="20">
        <f t="shared" si="0"/>
        <v>49819612</v>
      </c>
      <c r="C4" s="21">
        <v>49818022</v>
      </c>
      <c r="D4" s="524">
        <v>1590</v>
      </c>
      <c r="E4" s="356"/>
      <c r="F4" s="356"/>
      <c r="G4" s="247"/>
      <c r="H4" s="15"/>
      <c r="I4" s="163"/>
      <c r="J4" s="163"/>
      <c r="L4" s="170"/>
      <c r="M4" s="170"/>
    </row>
    <row r="5" spans="1:13" x14ac:dyDescent="0.25">
      <c r="A5" s="242" t="s">
        <v>5</v>
      </c>
      <c r="B5" s="20">
        <f t="shared" si="0"/>
        <v>49547747</v>
      </c>
      <c r="C5" s="21">
        <v>49544198</v>
      </c>
      <c r="D5" s="464">
        <v>3549</v>
      </c>
      <c r="E5" s="356"/>
      <c r="F5" s="356"/>
      <c r="G5" s="247"/>
      <c r="H5" s="181"/>
      <c r="I5" s="163"/>
      <c r="J5" s="163"/>
      <c r="L5" s="170"/>
      <c r="M5" s="170"/>
    </row>
    <row r="6" spans="1:13" x14ac:dyDescent="0.25">
      <c r="A6" s="242" t="s">
        <v>6</v>
      </c>
      <c r="B6" s="20">
        <f t="shared" si="0"/>
        <v>48206098</v>
      </c>
      <c r="C6" s="21">
        <v>48201694</v>
      </c>
      <c r="D6" s="464">
        <v>4404</v>
      </c>
      <c r="E6" s="356"/>
      <c r="F6" s="356"/>
      <c r="G6" s="247"/>
      <c r="H6" s="181"/>
      <c r="I6" s="163"/>
      <c r="J6" s="163"/>
      <c r="L6" s="170"/>
      <c r="M6" s="170"/>
    </row>
    <row r="7" spans="1:13" x14ac:dyDescent="0.25">
      <c r="A7" s="242" t="s">
        <v>7</v>
      </c>
      <c r="B7" s="20">
        <f t="shared" si="0"/>
        <v>54795655</v>
      </c>
      <c r="C7" s="21">
        <v>54793026</v>
      </c>
      <c r="D7" s="464">
        <v>2629</v>
      </c>
      <c r="E7" s="356"/>
      <c r="F7" s="356"/>
      <c r="G7" s="247"/>
      <c r="H7" s="181"/>
      <c r="I7" s="163"/>
      <c r="J7" s="163"/>
      <c r="L7" s="170"/>
      <c r="M7" s="170"/>
    </row>
    <row r="8" spans="1:13" x14ac:dyDescent="0.25">
      <c r="A8" s="242" t="s">
        <v>8</v>
      </c>
      <c r="B8" s="20">
        <f t="shared" si="0"/>
        <v>-6330893.9400000004</v>
      </c>
      <c r="C8" s="21">
        <v>-6395673</v>
      </c>
      <c r="D8" s="464">
        <v>64779.06</v>
      </c>
      <c r="E8" s="357"/>
      <c r="F8" s="357"/>
      <c r="G8" s="247"/>
      <c r="H8" s="181"/>
      <c r="I8" s="163"/>
      <c r="J8" s="163"/>
      <c r="K8" s="164"/>
      <c r="L8" s="170"/>
      <c r="M8" s="170"/>
    </row>
    <row r="9" spans="1:13" x14ac:dyDescent="0.25">
      <c r="A9" s="242" t="s">
        <v>9</v>
      </c>
      <c r="B9" s="20"/>
      <c r="C9" s="21"/>
      <c r="D9" s="525"/>
      <c r="E9" s="357"/>
      <c r="F9" s="357"/>
      <c r="G9" s="247"/>
      <c r="H9" s="181"/>
      <c r="I9" s="163"/>
      <c r="M9" s="170"/>
    </row>
    <row r="10" spans="1:13" x14ac:dyDescent="0.25">
      <c r="A10" s="242" t="s">
        <v>10</v>
      </c>
      <c r="B10" s="20"/>
      <c r="C10" s="21"/>
      <c r="D10" s="464"/>
      <c r="E10" s="356"/>
      <c r="F10" s="356"/>
      <c r="G10" s="247"/>
      <c r="H10" s="181"/>
      <c r="I10" s="163"/>
      <c r="J10" s="130"/>
      <c r="K10" s="164"/>
      <c r="L10" s="170"/>
      <c r="M10" s="170"/>
    </row>
    <row r="11" spans="1:13" x14ac:dyDescent="0.25">
      <c r="A11" s="242" t="s">
        <v>11</v>
      </c>
      <c r="B11" s="590"/>
      <c r="C11" s="591"/>
      <c r="D11" s="592"/>
      <c r="E11" s="356"/>
      <c r="F11" s="356"/>
      <c r="G11" s="247"/>
      <c r="H11" s="181"/>
      <c r="I11" s="168"/>
      <c r="J11" s="130"/>
      <c r="K11" s="164"/>
      <c r="L11" s="170"/>
      <c r="M11" s="170"/>
    </row>
    <row r="12" spans="1:13" x14ac:dyDescent="0.25">
      <c r="A12" s="242" t="s">
        <v>12</v>
      </c>
      <c r="B12" s="590"/>
      <c r="C12" s="591"/>
      <c r="D12" s="592"/>
      <c r="E12" s="573"/>
      <c r="F12" s="356"/>
      <c r="G12" s="247"/>
      <c r="H12" s="181"/>
      <c r="I12" s="168"/>
      <c r="J12" s="130"/>
      <c r="K12" s="164"/>
      <c r="L12" s="170"/>
      <c r="M12" s="170"/>
    </row>
    <row r="13" spans="1:13" x14ac:dyDescent="0.25">
      <c r="A13" s="242" t="s">
        <v>13</v>
      </c>
      <c r="B13" s="590"/>
      <c r="C13" s="591"/>
      <c r="D13" s="592"/>
      <c r="E13" s="356"/>
      <c r="F13" s="356"/>
      <c r="G13" s="247"/>
      <c r="H13" s="181"/>
      <c r="I13" s="168"/>
      <c r="J13" s="130"/>
      <c r="L13" s="170"/>
      <c r="M13" s="170"/>
    </row>
    <row r="14" spans="1:13" x14ac:dyDescent="0.25">
      <c r="A14" s="242" t="s">
        <v>2</v>
      </c>
      <c r="B14" s="590"/>
      <c r="C14" s="591"/>
      <c r="D14" s="592"/>
      <c r="E14" s="166"/>
      <c r="F14" s="356"/>
      <c r="G14" s="247"/>
      <c r="H14" s="182"/>
      <c r="I14" s="169"/>
      <c r="L14" s="170"/>
      <c r="M14" s="170"/>
    </row>
    <row r="15" spans="1:13" x14ac:dyDescent="0.25">
      <c r="A15" s="526" t="s">
        <v>34</v>
      </c>
      <c r="B15" s="48">
        <f>SUM(B3:B14)</f>
        <v>245593498.06</v>
      </c>
      <c r="C15" s="22">
        <f>SUM(C3:C14)</f>
        <v>245509156</v>
      </c>
      <c r="D15" s="527">
        <f>SUM(D3:D14)</f>
        <v>84342.06</v>
      </c>
      <c r="E15" s="358"/>
      <c r="F15" s="358"/>
      <c r="G15" s="247"/>
      <c r="H15" s="27"/>
      <c r="I15" s="27"/>
    </row>
    <row r="16" spans="1:13" s="173" customFormat="1" x14ac:dyDescent="0.25">
      <c r="A16" s="238" t="s">
        <v>35</v>
      </c>
      <c r="B16" s="20">
        <f>C16+D16</f>
        <v>625797571</v>
      </c>
      <c r="C16" s="616">
        <v>616836053</v>
      </c>
      <c r="D16" s="617">
        <v>8961518</v>
      </c>
      <c r="E16" s="532"/>
      <c r="F16" s="533"/>
      <c r="G16" s="247"/>
      <c r="I16" s="27"/>
      <c r="J16" s="182"/>
    </row>
    <row r="17" spans="1:9" ht="16.5" thickBot="1" x14ac:dyDescent="0.3">
      <c r="A17" s="551" t="s">
        <v>23</v>
      </c>
      <c r="B17" s="552">
        <f>B16-B15</f>
        <v>380204072.94</v>
      </c>
      <c r="C17" s="22">
        <f>C16-C15</f>
        <v>371326897</v>
      </c>
      <c r="D17" s="527">
        <f>D16-D15</f>
        <v>8877175.9399999995</v>
      </c>
      <c r="E17" s="550"/>
      <c r="F17" s="550"/>
      <c r="G17" s="247"/>
      <c r="H17" s="173"/>
      <c r="I17" s="101"/>
    </row>
    <row r="18" spans="1:9" s="461" customFormat="1" x14ac:dyDescent="0.25">
      <c r="A18" s="735" t="s">
        <v>24</v>
      </c>
      <c r="B18" s="736"/>
      <c r="C18" s="736"/>
      <c r="D18" s="737"/>
      <c r="E18" s="351"/>
      <c r="F18" s="633"/>
      <c r="G18" s="247"/>
      <c r="H18" s="150"/>
    </row>
    <row r="19" spans="1:9" ht="14.25" customHeight="1" x14ac:dyDescent="0.25">
      <c r="A19" s="828" t="s">
        <v>33</v>
      </c>
      <c r="B19" s="827"/>
      <c r="C19" s="827"/>
      <c r="D19" s="829"/>
      <c r="E19" s="359"/>
      <c r="F19" s="359"/>
      <c r="G19" s="247"/>
      <c r="H19" s="173"/>
    </row>
    <row r="20" spans="1:9" x14ac:dyDescent="0.25">
      <c r="A20" s="828" t="s">
        <v>335</v>
      </c>
      <c r="B20" s="827"/>
      <c r="C20" s="827"/>
      <c r="D20" s="829"/>
      <c r="E20" s="359" t="s">
        <v>336</v>
      </c>
      <c r="F20" s="359"/>
      <c r="G20" s="247"/>
      <c r="H20" s="173"/>
    </row>
    <row r="21" spans="1:9" s="173" customFormat="1" ht="39" x14ac:dyDescent="0.25">
      <c r="A21" s="828" t="s">
        <v>364</v>
      </c>
      <c r="B21" s="827"/>
      <c r="C21" s="827"/>
      <c r="D21" s="829"/>
      <c r="E21" s="359" t="s">
        <v>309</v>
      </c>
      <c r="F21" s="359"/>
      <c r="G21" s="247"/>
      <c r="H21" s="162"/>
    </row>
    <row r="22" spans="1:9" ht="26.25" x14ac:dyDescent="0.25">
      <c r="A22" s="831" t="s">
        <v>362</v>
      </c>
      <c r="B22" s="830"/>
      <c r="C22" s="830"/>
      <c r="D22" s="832"/>
      <c r="E22" s="359" t="s">
        <v>306</v>
      </c>
      <c r="F22" s="169"/>
      <c r="G22" s="169"/>
      <c r="H22" s="169"/>
    </row>
    <row r="23" spans="1:9" ht="16.5" thickBot="1" x14ac:dyDescent="0.3">
      <c r="A23" s="678" t="s">
        <v>363</v>
      </c>
      <c r="B23" s="679"/>
      <c r="C23" s="679"/>
      <c r="D23" s="680"/>
      <c r="E23" s="359"/>
      <c r="F23" s="169"/>
      <c r="G23" s="169"/>
      <c r="H23" s="169"/>
    </row>
    <row r="25" spans="1:9" x14ac:dyDescent="0.25">
      <c r="A25" s="169"/>
      <c r="B25" s="169"/>
      <c r="C25" s="169"/>
      <c r="D25" s="169"/>
      <c r="E25" s="169"/>
    </row>
    <row r="26" spans="1:9" x14ac:dyDescent="0.25">
      <c r="A26" s="169"/>
      <c r="B26" s="169"/>
      <c r="C26" s="373"/>
      <c r="D26" s="373"/>
      <c r="E26" s="169"/>
    </row>
    <row r="27" spans="1:9" x14ac:dyDescent="0.25">
      <c r="A27" s="169"/>
      <c r="B27" s="169"/>
      <c r="C27" s="373"/>
      <c r="D27" s="373"/>
      <c r="E27" s="169"/>
    </row>
    <row r="28" spans="1:9" x14ac:dyDescent="0.25">
      <c r="A28" s="169"/>
      <c r="B28" s="169"/>
      <c r="C28" s="373"/>
      <c r="D28" s="373"/>
      <c r="E28" s="169"/>
    </row>
    <row r="29" spans="1:9" x14ac:dyDescent="0.25">
      <c r="A29" s="169"/>
      <c r="B29" s="169"/>
      <c r="C29" s="373"/>
      <c r="D29" s="373"/>
      <c r="E29" s="169"/>
    </row>
    <row r="30" spans="1:9" x14ac:dyDescent="0.25">
      <c r="A30" s="169"/>
      <c r="B30" s="169"/>
      <c r="C30" s="373"/>
      <c r="D30" s="373"/>
      <c r="E30" s="169"/>
    </row>
    <row r="31" spans="1:9" x14ac:dyDescent="0.25">
      <c r="A31" s="169"/>
      <c r="B31" s="169"/>
      <c r="C31" s="373"/>
      <c r="D31" s="373"/>
      <c r="E31" s="169"/>
    </row>
    <row r="32" spans="1:9" x14ac:dyDescent="0.25">
      <c r="A32" s="877"/>
      <c r="B32" s="877"/>
      <c r="C32" s="878"/>
      <c r="D32" s="878"/>
      <c r="E32" s="879"/>
    </row>
    <row r="33" spans="1:5" x14ac:dyDescent="0.25">
      <c r="A33" s="169"/>
      <c r="B33" s="169"/>
      <c r="C33" s="169"/>
      <c r="D33" s="169"/>
      <c r="E33" s="169"/>
    </row>
    <row r="34" spans="1:5" x14ac:dyDescent="0.25">
      <c r="A34" s="169"/>
      <c r="B34" s="169"/>
      <c r="C34" s="169"/>
      <c r="D34" s="169"/>
      <c r="E34" s="169"/>
    </row>
    <row r="35" spans="1:5" x14ac:dyDescent="0.25">
      <c r="A35" s="169"/>
      <c r="B35" s="169"/>
      <c r="C35" s="373"/>
      <c r="D35" s="169"/>
      <c r="E35" s="169"/>
    </row>
    <row r="36" spans="1:5" x14ac:dyDescent="0.25">
      <c r="A36" s="169"/>
      <c r="B36" s="169"/>
      <c r="C36" s="169"/>
      <c r="D36" s="169"/>
      <c r="E36" s="169"/>
    </row>
    <row r="37" spans="1:5" x14ac:dyDescent="0.25">
      <c r="A37" s="169"/>
      <c r="B37" s="169"/>
      <c r="C37" s="169"/>
      <c r="D37" s="169"/>
      <c r="E37" s="169"/>
    </row>
    <row r="61" ht="37.5" customHeight="1" x14ac:dyDescent="0.25"/>
  </sheetData>
  <mergeCells count="7">
    <mergeCell ref="A23:D23"/>
    <mergeCell ref="A1:D1"/>
    <mergeCell ref="A18:D18"/>
    <mergeCell ref="A19:D19"/>
    <mergeCell ref="A21:D21"/>
    <mergeCell ref="A22:D22"/>
    <mergeCell ref="A20:D20"/>
  </mergeCells>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61"/>
  <sheetViews>
    <sheetView view="pageBreakPreview" topLeftCell="A11" zoomScaleNormal="100" zoomScaleSheetLayoutView="100" workbookViewId="0">
      <selection activeCell="I68" sqref="I68"/>
    </sheetView>
  </sheetViews>
  <sheetFormatPr defaultColWidth="9.140625" defaultRowHeight="15.75" x14ac:dyDescent="0.25"/>
  <cols>
    <col min="1" max="1" width="33" style="461" bestFit="1" customWidth="1"/>
    <col min="2" max="2" width="17.85546875" style="461" customWidth="1"/>
    <col min="3" max="3" width="19.42578125" style="461" customWidth="1"/>
    <col min="4" max="4" width="20.140625" style="461" customWidth="1"/>
    <col min="5" max="5" width="18.42578125" style="461" customWidth="1"/>
    <col min="6" max="6" width="19.42578125" style="461" customWidth="1"/>
    <col min="7" max="7" width="19.5703125" style="461" bestFit="1" customWidth="1"/>
    <col min="8" max="8" width="13.140625" style="461" customWidth="1"/>
    <col min="9" max="9" width="13.42578125" style="461" bestFit="1" customWidth="1"/>
    <col min="10" max="10" width="12.7109375" style="461" bestFit="1" customWidth="1"/>
    <col min="11" max="11" width="12.85546875" style="461" bestFit="1" customWidth="1"/>
    <col min="12" max="12" width="11.5703125" style="461" bestFit="1" customWidth="1"/>
    <col min="13" max="14" width="9.140625" style="461"/>
    <col min="15" max="15" width="16.140625" style="461" bestFit="1" customWidth="1"/>
    <col min="16" max="16384" width="9.140625" style="461"/>
  </cols>
  <sheetData>
    <row r="1" spans="1:15" ht="15.75" customHeight="1" thickBot="1" x14ac:dyDescent="0.3">
      <c r="A1" s="710" t="s">
        <v>338</v>
      </c>
      <c r="B1" s="711"/>
      <c r="C1" s="711"/>
      <c r="D1" s="711"/>
      <c r="E1" s="711"/>
      <c r="F1" s="711"/>
      <c r="G1" s="711"/>
      <c r="H1" s="712"/>
      <c r="I1" s="518"/>
    </row>
    <row r="2" spans="1:15" ht="47.25" x14ac:dyDescent="0.25">
      <c r="A2" s="456"/>
      <c r="B2" s="457" t="s">
        <v>39</v>
      </c>
      <c r="C2" s="458" t="s">
        <v>40</v>
      </c>
      <c r="D2" s="458" t="s">
        <v>289</v>
      </c>
      <c r="E2" s="458" t="s">
        <v>288</v>
      </c>
      <c r="F2" s="458" t="s">
        <v>42</v>
      </c>
      <c r="G2" s="462" t="s">
        <v>125</v>
      </c>
      <c r="H2" s="572" t="s">
        <v>302</v>
      </c>
      <c r="I2" s="519"/>
    </row>
    <row r="3" spans="1:15" x14ac:dyDescent="0.25">
      <c r="A3" s="242" t="s">
        <v>3</v>
      </c>
      <c r="B3" s="19">
        <f t="shared" ref="B3:B7" si="0">ROUND(SUM(C3:G3),0)</f>
        <v>49547889</v>
      </c>
      <c r="C3" s="19">
        <v>10953484</v>
      </c>
      <c r="D3" s="19">
        <v>10117623</v>
      </c>
      <c r="E3" s="19">
        <v>5523234</v>
      </c>
      <c r="F3" s="19">
        <v>16184039</v>
      </c>
      <c r="G3" s="19">
        <v>6769509</v>
      </c>
      <c r="H3" s="464">
        <v>0</v>
      </c>
      <c r="I3" s="520"/>
    </row>
    <row r="4" spans="1:15" x14ac:dyDescent="0.25">
      <c r="A4" s="242" t="s">
        <v>4</v>
      </c>
      <c r="B4" s="19">
        <f t="shared" si="0"/>
        <v>49818022</v>
      </c>
      <c r="C4" s="19">
        <v>10970710</v>
      </c>
      <c r="D4" s="19">
        <v>10193428</v>
      </c>
      <c r="E4" s="19">
        <v>5553527</v>
      </c>
      <c r="F4" s="19">
        <v>16280012</v>
      </c>
      <c r="G4" s="19">
        <v>6820345</v>
      </c>
      <c r="H4" s="464">
        <v>0</v>
      </c>
      <c r="I4" s="520"/>
    </row>
    <row r="5" spans="1:15" x14ac:dyDescent="0.25">
      <c r="A5" s="242" t="s">
        <v>5</v>
      </c>
      <c r="B5" s="19">
        <f t="shared" si="0"/>
        <v>49544198</v>
      </c>
      <c r="C5" s="19">
        <v>10907161</v>
      </c>
      <c r="D5" s="19">
        <v>10145948</v>
      </c>
      <c r="E5" s="19">
        <v>5512022</v>
      </c>
      <c r="F5" s="19">
        <v>16209672</v>
      </c>
      <c r="G5" s="356">
        <v>6769395</v>
      </c>
      <c r="H5" s="464">
        <v>0</v>
      </c>
      <c r="I5" s="520"/>
      <c r="L5" s="175"/>
    </row>
    <row r="6" spans="1:15" x14ac:dyDescent="0.25">
      <c r="A6" s="242" t="s">
        <v>6</v>
      </c>
      <c r="B6" s="19">
        <f t="shared" si="0"/>
        <v>48201694</v>
      </c>
      <c r="C6" s="272">
        <v>10579768</v>
      </c>
      <c r="D6" s="272">
        <v>9818331</v>
      </c>
      <c r="E6" s="272">
        <v>5376098</v>
      </c>
      <c r="F6" s="272">
        <v>15864277</v>
      </c>
      <c r="G6" s="272">
        <v>6563220</v>
      </c>
      <c r="H6" s="464">
        <v>0</v>
      </c>
      <c r="I6" s="520"/>
      <c r="L6" s="176"/>
    </row>
    <row r="7" spans="1:15" x14ac:dyDescent="0.25">
      <c r="A7" s="242" t="s">
        <v>1</v>
      </c>
      <c r="B7" s="19">
        <f t="shared" si="0"/>
        <v>54793026</v>
      </c>
      <c r="C7" s="19">
        <v>11849282</v>
      </c>
      <c r="D7" s="19">
        <v>11240794</v>
      </c>
      <c r="E7" s="19">
        <v>6094051</v>
      </c>
      <c r="F7" s="19">
        <v>18317581</v>
      </c>
      <c r="G7" s="356">
        <v>7291318</v>
      </c>
      <c r="H7" s="464">
        <v>0</v>
      </c>
      <c r="I7" s="547"/>
      <c r="L7" s="177"/>
      <c r="O7" s="175"/>
    </row>
    <row r="8" spans="1:15" x14ac:dyDescent="0.25">
      <c r="A8" s="242" t="s">
        <v>153</v>
      </c>
      <c r="B8" s="19">
        <f>ROUND(SUM(C8:G8),0)</f>
        <v>-6395673</v>
      </c>
      <c r="C8" s="272">
        <v>-3408695</v>
      </c>
      <c r="D8" s="272">
        <v>-1286734</v>
      </c>
      <c r="E8" s="272">
        <v>723813</v>
      </c>
      <c r="F8" s="272">
        <v>-423587</v>
      </c>
      <c r="G8" s="272">
        <v>-2000470</v>
      </c>
      <c r="H8" s="464">
        <v>0</v>
      </c>
      <c r="I8" s="547"/>
      <c r="L8" s="570"/>
      <c r="M8" s="101"/>
      <c r="O8" s="175"/>
    </row>
    <row r="9" spans="1:15" x14ac:dyDescent="0.25">
      <c r="A9" s="242" t="s">
        <v>9</v>
      </c>
      <c r="B9" s="19"/>
      <c r="C9" s="19"/>
      <c r="D9" s="19"/>
      <c r="E9" s="19"/>
      <c r="F9" s="272"/>
      <c r="G9" s="356"/>
      <c r="H9" s="464"/>
      <c r="I9" s="519"/>
      <c r="L9" s="570"/>
      <c r="M9" s="101"/>
    </row>
    <row r="10" spans="1:15" x14ac:dyDescent="0.25">
      <c r="A10" s="242" t="s">
        <v>10</v>
      </c>
      <c r="B10" s="19"/>
      <c r="C10" s="19"/>
      <c r="D10" s="19"/>
      <c r="E10" s="19"/>
      <c r="F10" s="272"/>
      <c r="G10" s="356"/>
      <c r="H10" s="464"/>
      <c r="I10" s="519"/>
      <c r="L10" s="571"/>
      <c r="O10" s="395"/>
    </row>
    <row r="11" spans="1:15" x14ac:dyDescent="0.25">
      <c r="A11" s="242" t="s">
        <v>11</v>
      </c>
      <c r="B11" s="593"/>
      <c r="C11" s="593"/>
      <c r="D11" s="593"/>
      <c r="E11" s="593"/>
      <c r="F11" s="594"/>
      <c r="G11" s="595"/>
      <c r="H11" s="592"/>
      <c r="I11" s="519"/>
      <c r="K11" s="175"/>
    </row>
    <row r="12" spans="1:15" x14ac:dyDescent="0.25">
      <c r="A12" s="242" t="s">
        <v>12</v>
      </c>
      <c r="B12" s="593"/>
      <c r="C12" s="593"/>
      <c r="D12" s="593"/>
      <c r="E12" s="593"/>
      <c r="F12" s="594"/>
      <c r="G12" s="595"/>
      <c r="H12" s="592"/>
      <c r="I12" s="519"/>
    </row>
    <row r="13" spans="1:15" x14ac:dyDescent="0.25">
      <c r="A13" s="242" t="s">
        <v>13</v>
      </c>
      <c r="B13" s="593"/>
      <c r="C13" s="593"/>
      <c r="D13" s="593"/>
      <c r="E13" s="593"/>
      <c r="F13" s="594"/>
      <c r="G13" s="595"/>
      <c r="H13" s="592"/>
      <c r="I13" s="519"/>
      <c r="K13" s="175"/>
    </row>
    <row r="14" spans="1:15" x14ac:dyDescent="0.25">
      <c r="A14" s="244" t="s">
        <v>25</v>
      </c>
      <c r="B14" s="593"/>
      <c r="C14" s="593"/>
      <c r="D14" s="593"/>
      <c r="E14" s="593"/>
      <c r="F14" s="594"/>
      <c r="G14" s="595"/>
      <c r="H14" s="605"/>
      <c r="I14" s="547"/>
    </row>
    <row r="15" spans="1:15" x14ac:dyDescent="0.25">
      <c r="A15" s="237" t="s">
        <v>34</v>
      </c>
      <c r="B15" s="66">
        <f>ROUND(SUM(C15:H15),0)</f>
        <v>245509156</v>
      </c>
      <c r="C15" s="66">
        <f>ROUND(SUM(C3:C14),0)</f>
        <v>51851710</v>
      </c>
      <c r="D15" s="66">
        <f t="shared" ref="D15:H15" si="1">ROUND(SUM(D3:D14),0)</f>
        <v>50229390</v>
      </c>
      <c r="E15" s="66">
        <f t="shared" si="1"/>
        <v>28782745</v>
      </c>
      <c r="F15" s="452">
        <f>ROUNDUP(SUM(F3:F14),0)</f>
        <v>82431994</v>
      </c>
      <c r="G15" s="463">
        <f t="shared" si="1"/>
        <v>32213317</v>
      </c>
      <c r="H15" s="465">
        <f t="shared" si="1"/>
        <v>0</v>
      </c>
      <c r="I15" s="547"/>
      <c r="J15" s="175"/>
      <c r="K15" s="175"/>
    </row>
    <row r="16" spans="1:15" s="150" customFormat="1" x14ac:dyDescent="0.25">
      <c r="A16" s="238" t="s">
        <v>35</v>
      </c>
      <c r="B16" s="19">
        <f>'MH Expend'!B16</f>
        <v>625797571</v>
      </c>
      <c r="C16" s="713"/>
      <c r="D16" s="714"/>
      <c r="E16" s="714"/>
      <c r="F16" s="714"/>
      <c r="G16" s="714"/>
      <c r="H16" s="715"/>
      <c r="I16" s="547"/>
    </row>
    <row r="17" spans="1:11" ht="16.5" thickBot="1" x14ac:dyDescent="0.3">
      <c r="A17" s="245" t="s">
        <v>23</v>
      </c>
      <c r="B17" s="246">
        <f>B16-B15</f>
        <v>380288415</v>
      </c>
      <c r="C17" s="716"/>
      <c r="D17" s="717"/>
      <c r="E17" s="717"/>
      <c r="F17" s="717"/>
      <c r="G17" s="717"/>
      <c r="H17" s="718"/>
      <c r="I17" s="521"/>
    </row>
    <row r="18" spans="1:11" ht="15.75" hidden="1" customHeight="1" x14ac:dyDescent="0.25">
      <c r="A18" s="724" t="s">
        <v>24</v>
      </c>
      <c r="B18" s="725"/>
      <c r="C18" s="725"/>
      <c r="D18" s="725"/>
      <c r="E18" s="725"/>
      <c r="F18" s="725"/>
      <c r="G18" s="726"/>
      <c r="H18" s="577"/>
      <c r="I18" s="521"/>
    </row>
    <row r="19" spans="1:11" ht="12.75" hidden="1" customHeight="1" x14ac:dyDescent="0.25">
      <c r="A19" s="722" t="s">
        <v>129</v>
      </c>
      <c r="B19" s="723"/>
      <c r="C19" s="723"/>
      <c r="D19" s="723"/>
      <c r="E19" s="723"/>
      <c r="F19" s="723"/>
      <c r="G19" s="723"/>
      <c r="H19" s="576"/>
      <c r="I19" s="521"/>
    </row>
    <row r="20" spans="1:11" ht="12.75" hidden="1" customHeight="1" x14ac:dyDescent="0.25">
      <c r="A20" s="722" t="s">
        <v>126</v>
      </c>
      <c r="B20" s="723"/>
      <c r="C20" s="723"/>
      <c r="D20" s="723"/>
      <c r="E20" s="723"/>
      <c r="F20" s="723"/>
      <c r="G20" s="723"/>
      <c r="H20" s="576"/>
      <c r="I20" s="522"/>
    </row>
    <row r="21" spans="1:11" ht="12.75" hidden="1" customHeight="1" x14ac:dyDescent="0.25">
      <c r="A21" s="722" t="s">
        <v>128</v>
      </c>
      <c r="B21" s="723"/>
      <c r="C21" s="723"/>
      <c r="D21" s="723"/>
      <c r="E21" s="723"/>
      <c r="F21" s="723"/>
      <c r="G21" s="723"/>
      <c r="H21" s="576"/>
      <c r="I21" s="522"/>
    </row>
    <row r="22" spans="1:11" ht="16.5" thickBot="1" x14ac:dyDescent="0.3">
      <c r="A22" s="730"/>
      <c r="B22" s="731"/>
      <c r="C22" s="731"/>
      <c r="D22" s="731"/>
      <c r="E22" s="731"/>
      <c r="F22" s="731"/>
      <c r="G22" s="731"/>
      <c r="H22" s="731"/>
      <c r="I22" s="732"/>
    </row>
    <row r="23" spans="1:11" ht="16.5" thickBot="1" x14ac:dyDescent="0.3">
      <c r="A23" s="710" t="s">
        <v>339</v>
      </c>
      <c r="B23" s="711"/>
      <c r="C23" s="711"/>
      <c r="D23" s="711"/>
      <c r="E23" s="711"/>
      <c r="F23" s="711"/>
      <c r="G23" s="711"/>
      <c r="H23" s="711"/>
      <c r="I23" s="712"/>
    </row>
    <row r="24" spans="1:11" ht="47.25" x14ac:dyDescent="0.25">
      <c r="A24" s="248"/>
      <c r="B24" s="239" t="s">
        <v>39</v>
      </c>
      <c r="C24" s="240" t="s">
        <v>40</v>
      </c>
      <c r="D24" s="240" t="s">
        <v>289</v>
      </c>
      <c r="E24" s="240" t="s">
        <v>288</v>
      </c>
      <c r="F24" s="240" t="s">
        <v>42</v>
      </c>
      <c r="G24" s="240" t="s">
        <v>124</v>
      </c>
      <c r="H24" s="241" t="s">
        <v>41</v>
      </c>
      <c r="I24" s="454" t="s">
        <v>43</v>
      </c>
    </row>
    <row r="25" spans="1:11" x14ac:dyDescent="0.25">
      <c r="A25" s="249" t="s">
        <v>3</v>
      </c>
      <c r="B25" s="28">
        <v>1323002</v>
      </c>
      <c r="C25" s="28">
        <v>317682</v>
      </c>
      <c r="D25" s="383">
        <v>206370</v>
      </c>
      <c r="E25" s="28">
        <v>162358</v>
      </c>
      <c r="F25" s="28">
        <v>467196</v>
      </c>
      <c r="G25" s="28">
        <v>160677</v>
      </c>
      <c r="H25" s="3">
        <v>0</v>
      </c>
      <c r="I25" s="250">
        <v>8719</v>
      </c>
      <c r="J25" s="178"/>
    </row>
    <row r="26" spans="1:11" x14ac:dyDescent="0.25">
      <c r="A26" s="249" t="s">
        <v>4</v>
      </c>
      <c r="B26" s="28">
        <v>1328845</v>
      </c>
      <c r="C26" s="28">
        <v>318584</v>
      </c>
      <c r="D26" s="383">
        <v>207725</v>
      </c>
      <c r="E26" s="28">
        <v>162563</v>
      </c>
      <c r="F26" s="28">
        <v>469196</v>
      </c>
      <c r="G26" s="28">
        <v>161200</v>
      </c>
      <c r="H26" s="3">
        <v>0</v>
      </c>
      <c r="I26" s="250">
        <v>9577</v>
      </c>
      <c r="J26" s="178"/>
    </row>
    <row r="27" spans="1:11" x14ac:dyDescent="0.25">
      <c r="A27" s="249" t="s">
        <v>5</v>
      </c>
      <c r="B27" s="28">
        <v>1323186</v>
      </c>
      <c r="C27" s="28">
        <v>316916</v>
      </c>
      <c r="D27" s="383">
        <v>207051</v>
      </c>
      <c r="E27" s="28">
        <v>161687</v>
      </c>
      <c r="F27" s="28">
        <v>467999</v>
      </c>
      <c r="G27" s="28">
        <v>160316</v>
      </c>
      <c r="H27" s="3">
        <v>0</v>
      </c>
      <c r="I27" s="250">
        <v>9217</v>
      </c>
      <c r="J27" s="178"/>
    </row>
    <row r="28" spans="1:11" x14ac:dyDescent="0.25">
      <c r="A28" s="249" t="s">
        <v>6</v>
      </c>
      <c r="B28" s="28">
        <v>1281291</v>
      </c>
      <c r="C28" s="28">
        <v>305047</v>
      </c>
      <c r="D28" s="383">
        <v>199708</v>
      </c>
      <c r="E28" s="28">
        <v>156993</v>
      </c>
      <c r="F28" s="28">
        <v>455679</v>
      </c>
      <c r="G28" s="28">
        <v>154376</v>
      </c>
      <c r="H28" s="3">
        <v>0</v>
      </c>
      <c r="I28" s="250">
        <v>9488</v>
      </c>
      <c r="J28" s="626"/>
      <c r="K28" s="627"/>
    </row>
    <row r="29" spans="1:11" x14ac:dyDescent="0.25">
      <c r="A29" s="249" t="s">
        <v>7</v>
      </c>
      <c r="B29" s="28">
        <v>1275519</v>
      </c>
      <c r="C29" s="28">
        <v>302049</v>
      </c>
      <c r="D29" s="383">
        <v>199039</v>
      </c>
      <c r="E29" s="28">
        <v>156004</v>
      </c>
      <c r="F29" s="28">
        <v>454430</v>
      </c>
      <c r="G29" s="28">
        <v>153398</v>
      </c>
      <c r="H29" s="3">
        <v>0</v>
      </c>
      <c r="I29" s="250">
        <v>10599</v>
      </c>
      <c r="J29" s="178"/>
      <c r="K29" s="17"/>
    </row>
    <row r="30" spans="1:11" x14ac:dyDescent="0.25">
      <c r="A30" s="249" t="s">
        <v>8</v>
      </c>
      <c r="B30" s="28">
        <v>1280656</v>
      </c>
      <c r="C30" s="28">
        <v>302778</v>
      </c>
      <c r="D30" s="383">
        <v>199868</v>
      </c>
      <c r="E30" s="28">
        <v>156138</v>
      </c>
      <c r="F30" s="28">
        <v>456528</v>
      </c>
      <c r="G30" s="28">
        <v>154121</v>
      </c>
      <c r="H30" s="3">
        <v>0</v>
      </c>
      <c r="I30" s="250">
        <v>11223</v>
      </c>
      <c r="J30" s="178"/>
      <c r="K30" s="17"/>
    </row>
    <row r="31" spans="1:11" x14ac:dyDescent="0.25">
      <c r="A31" s="249" t="s">
        <v>9</v>
      </c>
      <c r="B31" s="28"/>
      <c r="C31" s="28"/>
      <c r="D31" s="28"/>
      <c r="E31" s="28"/>
      <c r="F31" s="28"/>
      <c r="G31" s="28"/>
      <c r="H31" s="3"/>
      <c r="I31" s="250"/>
      <c r="J31" s="178"/>
      <c r="K31" s="17"/>
    </row>
    <row r="32" spans="1:11" x14ac:dyDescent="0.25">
      <c r="A32" s="249" t="s">
        <v>10</v>
      </c>
      <c r="B32" s="28"/>
      <c r="C32" s="28"/>
      <c r="D32" s="28"/>
      <c r="E32" s="28"/>
      <c r="F32" s="28"/>
      <c r="G32" s="28"/>
      <c r="H32" s="3"/>
      <c r="I32" s="250"/>
      <c r="J32" s="178"/>
      <c r="K32" s="17"/>
    </row>
    <row r="33" spans="1:16" x14ac:dyDescent="0.25">
      <c r="A33" s="249" t="s">
        <v>11</v>
      </c>
      <c r="B33" s="596"/>
      <c r="C33" s="596"/>
      <c r="D33" s="596"/>
      <c r="E33" s="596"/>
      <c r="F33" s="596"/>
      <c r="G33" s="596"/>
      <c r="H33" s="581"/>
      <c r="I33" s="597"/>
      <c r="J33" s="178"/>
      <c r="K33" s="17"/>
    </row>
    <row r="34" spans="1:16" x14ac:dyDescent="0.25">
      <c r="A34" s="249" t="s">
        <v>12</v>
      </c>
      <c r="B34" s="596"/>
      <c r="C34" s="596"/>
      <c r="D34" s="596"/>
      <c r="E34" s="596"/>
      <c r="F34" s="596"/>
      <c r="G34" s="596"/>
      <c r="H34" s="581"/>
      <c r="I34" s="597"/>
      <c r="J34" s="178"/>
    </row>
    <row r="35" spans="1:16" x14ac:dyDescent="0.25">
      <c r="A35" s="249" t="s">
        <v>13</v>
      </c>
      <c r="B35" s="596"/>
      <c r="C35" s="596"/>
      <c r="D35" s="596"/>
      <c r="E35" s="596"/>
      <c r="F35" s="596"/>
      <c r="G35" s="596"/>
      <c r="H35" s="581"/>
      <c r="I35" s="597"/>
      <c r="J35" s="178"/>
    </row>
    <row r="36" spans="1:16" x14ac:dyDescent="0.25">
      <c r="A36" s="251" t="s">
        <v>25</v>
      </c>
      <c r="B36" s="596"/>
      <c r="C36" s="596"/>
      <c r="D36" s="596"/>
      <c r="E36" s="596"/>
      <c r="F36" s="596"/>
      <c r="G36" s="596"/>
      <c r="H36" s="581"/>
      <c r="I36" s="597"/>
      <c r="J36" s="178"/>
    </row>
    <row r="37" spans="1:16" x14ac:dyDescent="0.25">
      <c r="A37" s="237" t="s">
        <v>44</v>
      </c>
      <c r="B37" s="65">
        <f>ROUND(AVERAGE(B25:B36),0)</f>
        <v>1302083</v>
      </c>
      <c r="C37" s="65">
        <f t="shared" ref="C37:I37" si="2">ROUND(AVERAGE(C25:C36),0)</f>
        <v>310509</v>
      </c>
      <c r="D37" s="65">
        <f t="shared" si="2"/>
        <v>203294</v>
      </c>
      <c r="E37" s="65">
        <f t="shared" si="2"/>
        <v>159291</v>
      </c>
      <c r="F37" s="65">
        <f t="shared" si="2"/>
        <v>461838</v>
      </c>
      <c r="G37" s="65">
        <f t="shared" si="2"/>
        <v>157348</v>
      </c>
      <c r="H37" s="453"/>
      <c r="I37" s="455">
        <f t="shared" si="2"/>
        <v>9804</v>
      </c>
    </row>
    <row r="38" spans="1:16" ht="16.5" thickBot="1" x14ac:dyDescent="0.3">
      <c r="A38" s="252" t="s">
        <v>35</v>
      </c>
      <c r="B38" s="549">
        <f>'Medicaid Caseload'!R121-'Medicaid Caseload'!Q121-'Medicaid Caseload'!P121</f>
        <v>1380362</v>
      </c>
      <c r="C38" s="733"/>
      <c r="D38" s="733"/>
      <c r="E38" s="733"/>
      <c r="F38" s="733"/>
      <c r="G38" s="733"/>
      <c r="H38" s="733"/>
      <c r="I38" s="734"/>
    </row>
    <row r="39" spans="1:16" x14ac:dyDescent="0.25">
      <c r="A39" s="735" t="s">
        <v>24</v>
      </c>
      <c r="B39" s="736"/>
      <c r="C39" s="736"/>
      <c r="D39" s="736"/>
      <c r="E39" s="736"/>
      <c r="F39" s="736"/>
      <c r="G39" s="736"/>
      <c r="H39" s="736"/>
      <c r="I39" s="737"/>
    </row>
    <row r="40" spans="1:16" x14ac:dyDescent="0.25">
      <c r="A40" s="727" t="s">
        <v>158</v>
      </c>
      <c r="B40" s="728"/>
      <c r="C40" s="728"/>
      <c r="D40" s="728"/>
      <c r="E40" s="728"/>
      <c r="F40" s="728"/>
      <c r="G40" s="728"/>
      <c r="H40" s="728"/>
      <c r="I40" s="729"/>
      <c r="K40" s="175"/>
    </row>
    <row r="41" spans="1:16" ht="25.5" customHeight="1" x14ac:dyDescent="0.25">
      <c r="A41" s="741" t="s">
        <v>251</v>
      </c>
      <c r="B41" s="742"/>
      <c r="C41" s="742"/>
      <c r="D41" s="742"/>
      <c r="E41" s="742"/>
      <c r="F41" s="742"/>
      <c r="G41" s="742"/>
      <c r="H41" s="742"/>
      <c r="I41" s="743"/>
      <c r="K41" s="175"/>
    </row>
    <row r="42" spans="1:16" ht="25.5" customHeight="1" x14ac:dyDescent="0.25">
      <c r="A42" s="738" t="s">
        <v>364</v>
      </c>
      <c r="B42" s="739"/>
      <c r="C42" s="739"/>
      <c r="D42" s="739"/>
      <c r="E42" s="739"/>
      <c r="F42" s="739"/>
      <c r="G42" s="739"/>
      <c r="H42" s="739"/>
      <c r="I42" s="740"/>
    </row>
    <row r="43" spans="1:16" ht="26.25" x14ac:dyDescent="0.25">
      <c r="A43" s="738" t="s">
        <v>366</v>
      </c>
      <c r="B43" s="739"/>
      <c r="C43" s="739"/>
      <c r="D43" s="739"/>
      <c r="E43" s="739"/>
      <c r="F43" s="739"/>
      <c r="G43" s="739"/>
      <c r="H43" s="739"/>
      <c r="I43" s="740"/>
      <c r="J43" s="585" t="s">
        <v>306</v>
      </c>
    </row>
    <row r="44" spans="1:16" ht="14.25" customHeight="1" thickBot="1" x14ac:dyDescent="0.3">
      <c r="A44" s="719" t="s">
        <v>367</v>
      </c>
      <c r="B44" s="720"/>
      <c r="C44" s="720"/>
      <c r="D44" s="720"/>
      <c r="E44" s="720"/>
      <c r="F44" s="720"/>
      <c r="G44" s="720"/>
      <c r="H44" s="720"/>
      <c r="I44" s="721"/>
      <c r="J44" s="179"/>
      <c r="K44" s="179"/>
      <c r="L44" s="179"/>
      <c r="M44" s="179"/>
      <c r="N44" s="179"/>
      <c r="O44" s="179"/>
      <c r="P44" s="15"/>
    </row>
    <row r="46" spans="1:16" x14ac:dyDescent="0.25">
      <c r="B46" s="175"/>
      <c r="C46" s="460"/>
      <c r="D46" s="180"/>
      <c r="E46" s="180"/>
      <c r="F46" s="180"/>
      <c r="G46" s="180"/>
      <c r="H46" s="180"/>
    </row>
    <row r="47" spans="1:16" x14ac:dyDescent="0.25">
      <c r="C47" s="460"/>
    </row>
    <row r="61" ht="37.5" customHeight="1" x14ac:dyDescent="0.25"/>
  </sheetData>
  <mergeCells count="15">
    <mergeCell ref="A43:I43"/>
    <mergeCell ref="A44:I44"/>
    <mergeCell ref="A22:I22"/>
    <mergeCell ref="A23:I23"/>
    <mergeCell ref="C38:I38"/>
    <mergeCell ref="A39:I39"/>
    <mergeCell ref="A40:I40"/>
    <mergeCell ref="A42:I42"/>
    <mergeCell ref="A41:I41"/>
    <mergeCell ref="A21:G21"/>
    <mergeCell ref="A1:H1"/>
    <mergeCell ref="C16:H17"/>
    <mergeCell ref="A18:G18"/>
    <mergeCell ref="A19:G19"/>
    <mergeCell ref="A20:G20"/>
  </mergeCells>
  <printOptions horizontalCentered="1" gridLines="1"/>
  <pageMargins left="0.28999999999999998" right="0.28999999999999998" top="0.7" bottom="0.43" header="0.3" footer="0.27"/>
  <pageSetup scale="72" firstPageNumber="5"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O61"/>
  <sheetViews>
    <sheetView view="pageBreakPreview" zoomScale="110" zoomScaleNormal="100" zoomScaleSheetLayoutView="110" workbookViewId="0">
      <selection activeCell="I68" sqref="I68"/>
    </sheetView>
  </sheetViews>
  <sheetFormatPr defaultColWidth="9.140625" defaultRowHeight="15.75" x14ac:dyDescent="0.25"/>
  <cols>
    <col min="1" max="1" width="33.85546875" style="161" customWidth="1"/>
    <col min="2" max="2" width="38.140625" style="161" customWidth="1"/>
    <col min="3" max="3" width="18.5703125" style="161" customWidth="1"/>
    <col min="4" max="4" width="20.42578125" style="161" customWidth="1"/>
    <col min="5" max="5" width="19.5703125" style="161" customWidth="1"/>
    <col min="6" max="6" width="20" style="161" customWidth="1"/>
    <col min="7" max="7" width="17.42578125" style="161" bestFit="1" customWidth="1"/>
    <col min="8" max="8" width="12.85546875" style="161" bestFit="1" customWidth="1"/>
    <col min="9" max="9" width="12.5703125" style="161" bestFit="1" customWidth="1"/>
    <col min="10" max="10" width="9.7109375" style="161" bestFit="1" customWidth="1"/>
    <col min="11" max="11" width="12.28515625" style="161" bestFit="1" customWidth="1"/>
    <col min="12" max="12" width="11.5703125" style="161" bestFit="1" customWidth="1"/>
    <col min="13" max="14" width="9.140625" style="161"/>
    <col min="15" max="15" width="10.28515625" style="161" bestFit="1" customWidth="1"/>
    <col min="16" max="16384" width="9.140625" style="161"/>
  </cols>
  <sheetData>
    <row r="1" spans="1:15" ht="24.75" customHeight="1" x14ac:dyDescent="0.25">
      <c r="A1" s="744" t="s">
        <v>352</v>
      </c>
      <c r="B1" s="745"/>
      <c r="C1" s="745"/>
      <c r="D1" s="745"/>
      <c r="E1" s="746"/>
      <c r="F1" s="79"/>
    </row>
    <row r="2" spans="1:15" ht="32.25" customHeight="1" x14ac:dyDescent="0.25">
      <c r="A2" s="253"/>
      <c r="B2" s="561" t="s">
        <v>77</v>
      </c>
      <c r="C2" s="562" t="s">
        <v>101</v>
      </c>
      <c r="D2" s="563" t="s">
        <v>22</v>
      </c>
      <c r="E2" s="564" t="s">
        <v>102</v>
      </c>
      <c r="F2" s="162"/>
    </row>
    <row r="3" spans="1:15" x14ac:dyDescent="0.25">
      <c r="A3" s="249" t="s">
        <v>3</v>
      </c>
      <c r="B3" s="19">
        <f t="shared" ref="B3:B6" si="0">SUM(C3:E3)</f>
        <v>12482189.01</v>
      </c>
      <c r="C3" s="19">
        <v>11177496.609999999</v>
      </c>
      <c r="D3" s="19">
        <v>1304692.3999999999</v>
      </c>
      <c r="E3" s="243">
        <v>0</v>
      </c>
      <c r="F3" s="484"/>
      <c r="G3" s="163"/>
      <c r="H3" s="163"/>
      <c r="I3" s="163"/>
      <c r="J3" s="164"/>
      <c r="K3" s="165"/>
      <c r="L3" s="166"/>
    </row>
    <row r="4" spans="1:15" x14ac:dyDescent="0.25">
      <c r="A4" s="249" t="s">
        <v>4</v>
      </c>
      <c r="B4" s="19">
        <f t="shared" si="0"/>
        <v>15838915.82</v>
      </c>
      <c r="C4" s="19">
        <v>12902463.310000001</v>
      </c>
      <c r="D4" s="19">
        <v>1536452.51</v>
      </c>
      <c r="E4" s="243">
        <v>1400000</v>
      </c>
      <c r="F4" s="167"/>
      <c r="G4" s="163"/>
      <c r="H4" s="163"/>
      <c r="I4" s="163"/>
      <c r="J4" s="164"/>
      <c r="K4" s="165"/>
      <c r="L4" s="166"/>
    </row>
    <row r="5" spans="1:15" x14ac:dyDescent="0.25">
      <c r="A5" s="249" t="s">
        <v>5</v>
      </c>
      <c r="B5" s="19">
        <f t="shared" si="0"/>
        <v>12477313.779999999</v>
      </c>
      <c r="C5" s="19">
        <v>11177406.529999999</v>
      </c>
      <c r="D5" s="19">
        <v>1299907.2500000002</v>
      </c>
      <c r="E5" s="243">
        <v>0</v>
      </c>
      <c r="F5" s="484"/>
      <c r="G5" s="163"/>
      <c r="H5" s="163"/>
      <c r="I5" s="163"/>
      <c r="J5" s="164"/>
      <c r="K5" s="165"/>
      <c r="L5" s="166"/>
    </row>
    <row r="6" spans="1:15" x14ac:dyDescent="0.25">
      <c r="A6" s="249" t="s">
        <v>6</v>
      </c>
      <c r="B6" s="19">
        <f t="shared" si="0"/>
        <v>13111539.910000002</v>
      </c>
      <c r="C6" s="19">
        <v>11631320.290000003</v>
      </c>
      <c r="D6" s="19">
        <v>1480219.6199999999</v>
      </c>
      <c r="E6" s="243">
        <v>0</v>
      </c>
      <c r="F6" s="484"/>
      <c r="G6" s="163"/>
      <c r="H6" s="163"/>
      <c r="I6" s="163"/>
      <c r="J6" s="164"/>
      <c r="K6" s="165"/>
      <c r="L6" s="166"/>
    </row>
    <row r="7" spans="1:15" x14ac:dyDescent="0.25">
      <c r="A7" s="249" t="s">
        <v>7</v>
      </c>
      <c r="B7" s="19">
        <f t="shared" ref="B7" si="1">SUM(C7:E7)</f>
        <v>12493688.300000001</v>
      </c>
      <c r="C7" s="19">
        <v>11187367</v>
      </c>
      <c r="D7" s="19">
        <v>1306321.3</v>
      </c>
      <c r="E7" s="243">
        <v>0</v>
      </c>
      <c r="F7" s="459"/>
      <c r="G7" s="163"/>
      <c r="H7" s="163"/>
      <c r="I7" s="163"/>
      <c r="J7" s="164"/>
      <c r="K7" s="165"/>
      <c r="L7" s="166"/>
    </row>
    <row r="8" spans="1:15" x14ac:dyDescent="0.25">
      <c r="A8" s="249" t="s">
        <v>8</v>
      </c>
      <c r="B8" s="19">
        <f t="shared" ref="B8" si="2">SUM(C8:E8)</f>
        <v>24766670.719999999</v>
      </c>
      <c r="C8" s="19">
        <v>17381521.609999999</v>
      </c>
      <c r="D8" s="19">
        <v>1385149.1099999996</v>
      </c>
      <c r="E8" s="243">
        <v>6000000</v>
      </c>
      <c r="F8" s="484"/>
      <c r="G8" s="163"/>
      <c r="H8" s="163"/>
      <c r="I8" s="163"/>
      <c r="J8" s="164"/>
      <c r="K8" s="165"/>
      <c r="L8" s="166"/>
    </row>
    <row r="9" spans="1:15" x14ac:dyDescent="0.25">
      <c r="A9" s="249" t="s">
        <v>9</v>
      </c>
      <c r="B9" s="19"/>
      <c r="C9" s="19"/>
      <c r="D9" s="19"/>
      <c r="E9" s="243"/>
      <c r="F9" s="484"/>
      <c r="G9" s="163"/>
      <c r="H9" s="163"/>
      <c r="I9" s="163"/>
      <c r="J9" s="164"/>
      <c r="K9" s="165"/>
      <c r="L9" s="166"/>
    </row>
    <row r="10" spans="1:15" x14ac:dyDescent="0.25">
      <c r="A10" s="249" t="s">
        <v>10</v>
      </c>
      <c r="B10" s="19"/>
      <c r="C10" s="19"/>
      <c r="D10" s="19"/>
      <c r="E10" s="243"/>
      <c r="F10" s="167"/>
      <c r="G10" s="163"/>
      <c r="H10" s="163"/>
      <c r="I10" s="163"/>
      <c r="J10" s="164"/>
      <c r="K10" s="165"/>
      <c r="L10" s="166"/>
    </row>
    <row r="11" spans="1:15" x14ac:dyDescent="0.25">
      <c r="A11" s="249" t="s">
        <v>11</v>
      </c>
      <c r="B11" s="593"/>
      <c r="C11" s="593"/>
      <c r="D11" s="593"/>
      <c r="E11" s="598"/>
      <c r="F11" s="484"/>
      <c r="G11" s="163"/>
      <c r="H11" s="168"/>
      <c r="I11" s="163"/>
      <c r="J11" s="164"/>
      <c r="K11" s="165"/>
      <c r="L11" s="166"/>
    </row>
    <row r="12" spans="1:15" x14ac:dyDescent="0.25">
      <c r="A12" s="249" t="s">
        <v>12</v>
      </c>
      <c r="B12" s="593"/>
      <c r="C12" s="593"/>
      <c r="D12" s="593"/>
      <c r="E12" s="598"/>
      <c r="F12" s="484"/>
      <c r="G12" s="163"/>
      <c r="H12" s="168"/>
      <c r="I12" s="163"/>
      <c r="J12" s="164"/>
      <c r="K12" s="165"/>
      <c r="L12" s="166"/>
      <c r="O12" s="166"/>
    </row>
    <row r="13" spans="1:15" x14ac:dyDescent="0.25">
      <c r="A13" s="249" t="s">
        <v>13</v>
      </c>
      <c r="B13" s="593"/>
      <c r="C13" s="593"/>
      <c r="D13" s="593"/>
      <c r="E13" s="598"/>
      <c r="F13" s="484"/>
      <c r="G13" s="163"/>
      <c r="H13" s="168"/>
      <c r="I13" s="163"/>
      <c r="J13" s="164"/>
      <c r="K13" s="165"/>
      <c r="L13" s="166"/>
    </row>
    <row r="14" spans="1:15" x14ac:dyDescent="0.25">
      <c r="A14" s="251" t="s">
        <v>25</v>
      </c>
      <c r="B14" s="606"/>
      <c r="C14" s="607"/>
      <c r="D14" s="607"/>
      <c r="E14" s="608"/>
      <c r="F14" s="484"/>
      <c r="G14" s="163"/>
      <c r="H14" s="373"/>
      <c r="K14" s="170"/>
      <c r="L14" s="170"/>
    </row>
    <row r="15" spans="1:15" x14ac:dyDescent="0.25">
      <c r="A15" s="255" t="s">
        <v>34</v>
      </c>
      <c r="B15" s="23">
        <f>SUM(B3:B14)</f>
        <v>91170317.540000007</v>
      </c>
      <c r="C15" s="23">
        <f>SUM(C3:C14)</f>
        <v>75457575.350000009</v>
      </c>
      <c r="D15" s="23">
        <f>SUM(D3:D14)</f>
        <v>8312742.1899999995</v>
      </c>
      <c r="E15" s="256">
        <f>SUM(E3:E14)</f>
        <v>7400000</v>
      </c>
      <c r="F15" s="171"/>
      <c r="G15" s="171"/>
      <c r="H15" s="101"/>
      <c r="I15" s="164"/>
    </row>
    <row r="16" spans="1:15" x14ac:dyDescent="0.25">
      <c r="A16" s="238" t="s">
        <v>35</v>
      </c>
      <c r="B16" s="19">
        <v>179773700</v>
      </c>
      <c r="C16" s="19"/>
      <c r="D16" s="19"/>
      <c r="E16" s="243"/>
      <c r="F16" s="172"/>
      <c r="G16" s="372"/>
    </row>
    <row r="17" spans="1:8" ht="16.5" thickBot="1" x14ac:dyDescent="0.3">
      <c r="A17" s="257" t="s">
        <v>23</v>
      </c>
      <c r="B17" s="246">
        <f>B16-B15</f>
        <v>88603382.459999993</v>
      </c>
      <c r="C17" s="258"/>
      <c r="D17" s="258"/>
      <c r="E17" s="259"/>
      <c r="F17" s="169"/>
    </row>
    <row r="18" spans="1:8" ht="12.75" customHeight="1" x14ac:dyDescent="0.25">
      <c r="A18" s="833" t="s">
        <v>24</v>
      </c>
      <c r="B18" s="834"/>
      <c r="C18" s="834"/>
      <c r="D18" s="834"/>
      <c r="E18" s="835"/>
      <c r="F18" s="169"/>
    </row>
    <row r="19" spans="1:8" x14ac:dyDescent="0.25">
      <c r="A19" s="738" t="s">
        <v>340</v>
      </c>
      <c r="B19" s="739"/>
      <c r="C19" s="739"/>
      <c r="D19" s="739"/>
      <c r="E19" s="740"/>
      <c r="F19" s="169"/>
      <c r="H19" s="586" t="s">
        <v>336</v>
      </c>
    </row>
    <row r="20" spans="1:8" s="173" customFormat="1" ht="39" x14ac:dyDescent="0.25">
      <c r="A20" s="738" t="s">
        <v>368</v>
      </c>
      <c r="B20" s="739"/>
      <c r="C20" s="739"/>
      <c r="D20" s="739"/>
      <c r="E20" s="740"/>
      <c r="F20" s="162"/>
      <c r="G20" s="182"/>
      <c r="H20" s="586" t="s">
        <v>309</v>
      </c>
    </row>
    <row r="21" spans="1:8" ht="26.25" x14ac:dyDescent="0.25">
      <c r="A21" s="738" t="s">
        <v>365</v>
      </c>
      <c r="B21" s="739"/>
      <c r="C21" s="739"/>
      <c r="D21" s="739"/>
      <c r="E21" s="740"/>
      <c r="F21" s="586" t="s">
        <v>306</v>
      </c>
    </row>
    <row r="22" spans="1:8" ht="16.5" thickBot="1" x14ac:dyDescent="0.3">
      <c r="A22" s="719" t="s">
        <v>369</v>
      </c>
      <c r="B22" s="720"/>
      <c r="C22" s="720"/>
      <c r="D22" s="720"/>
      <c r="E22" s="721"/>
      <c r="F22" s="370"/>
    </row>
    <row r="23" spans="1:8" x14ac:dyDescent="0.25">
      <c r="A23" s="169"/>
      <c r="B23" s="373"/>
      <c r="C23" s="169"/>
      <c r="D23" s="169"/>
      <c r="E23" s="169"/>
    </row>
    <row r="24" spans="1:8" x14ac:dyDescent="0.25">
      <c r="A24" s="169"/>
      <c r="B24" s="169"/>
      <c r="C24" s="169"/>
      <c r="D24" s="169"/>
      <c r="E24" s="169"/>
    </row>
    <row r="26" spans="1:8" x14ac:dyDescent="0.25">
      <c r="A26" s="169"/>
      <c r="B26" s="169"/>
      <c r="C26" s="373"/>
    </row>
    <row r="27" spans="1:8" x14ac:dyDescent="0.25">
      <c r="A27" s="169"/>
      <c r="B27" s="169"/>
      <c r="C27" s="373"/>
    </row>
    <row r="28" spans="1:8" x14ac:dyDescent="0.25">
      <c r="A28" s="169"/>
      <c r="B28" s="169"/>
      <c r="C28" s="373"/>
    </row>
    <row r="29" spans="1:8" x14ac:dyDescent="0.25">
      <c r="A29" s="169"/>
      <c r="B29" s="169"/>
      <c r="C29" s="373"/>
      <c r="D29" s="166"/>
    </row>
    <row r="30" spans="1:8" x14ac:dyDescent="0.25">
      <c r="A30" s="169"/>
      <c r="B30" s="169"/>
      <c r="C30" s="373"/>
    </row>
    <row r="31" spans="1:8" x14ac:dyDescent="0.25">
      <c r="A31" s="169"/>
      <c r="B31" s="169"/>
      <c r="C31" s="373"/>
    </row>
    <row r="32" spans="1:8" x14ac:dyDescent="0.25">
      <c r="A32" s="877"/>
      <c r="B32" s="877"/>
      <c r="C32" s="878"/>
    </row>
    <row r="33" spans="1:3" x14ac:dyDescent="0.25">
      <c r="A33" s="169"/>
      <c r="B33" s="169"/>
      <c r="C33" s="373"/>
    </row>
    <row r="34" spans="1:3" x14ac:dyDescent="0.25">
      <c r="A34" s="169"/>
      <c r="B34" s="169"/>
      <c r="C34" s="373"/>
    </row>
    <row r="61" ht="37.5" customHeight="1" x14ac:dyDescent="0.25"/>
  </sheetData>
  <mergeCells count="6">
    <mergeCell ref="A1:E1"/>
    <mergeCell ref="A18:E18"/>
    <mergeCell ref="A20:E20"/>
    <mergeCell ref="A21:E21"/>
    <mergeCell ref="A22:E22"/>
    <mergeCell ref="A19:E19"/>
  </mergeCells>
  <printOptions horizontalCentered="1" gridLines="1"/>
  <pageMargins left="0.28999999999999998" right="0.28999999999999998" top="0.7" bottom="0.43" header="0.3" footer="0.27"/>
  <pageSetup scale="89" firstPageNumber="6"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RCCO County</vt:lpstr>
      <vt:lpstr>MH Expend</vt:lpstr>
      <vt:lpstr>MH by BHO</vt:lpstr>
      <vt:lpstr>CBHP Expend</vt:lpstr>
      <vt:lpstr>CBHP Caseload</vt:lpstr>
      <vt:lpstr>DiDD Expend and Caseload</vt:lpstr>
      <vt:lpstr>OAP Expend and Caseload</vt:lpstr>
      <vt:lpstr>MMA Expend and Caseload</vt:lpstr>
      <vt:lpstr>Expansion Expenditure</vt:lpstr>
      <vt:lpstr>Graph for Web- DO NOT PRINT</vt:lpstr>
      <vt:lpstr>'ACC RCCO County'!Print_Area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'MH by BHO'!Print_Area</vt:lpstr>
      <vt:lpstr>'MH Expend'!Print_Area</vt:lpstr>
      <vt:lpstr>'MMA Expend and Caseload'!Print_Area</vt:lpstr>
      <vt:lpstr>'OAP Expend and Caseload'!Print_Area</vt:lpstr>
      <vt:lpstr>'Premiums Approp'!Print_Area</vt:lpstr>
      <vt:lpstr>'Premiums Expend'!Print_Area</vt:lpstr>
      <vt:lpstr>'ACC RCCO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Coutts, Beverly</cp:lastModifiedBy>
  <cp:lastPrinted>2018-01-15T19:37:00Z</cp:lastPrinted>
  <dcterms:created xsi:type="dcterms:W3CDTF">2003-06-04T15:46:14Z</dcterms:created>
  <dcterms:modified xsi:type="dcterms:W3CDTF">2018-01-15T19:40:16Z</dcterms:modified>
</cp:coreProperties>
</file>