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H:\FATWIRE\Drupel\Diana\"/>
    </mc:Choice>
  </mc:AlternateContent>
  <xr:revisionPtr revIDLastSave="0" documentId="8_{B8778438-FDB4-47FF-AC4A-E31B02486AF2}" xr6:coauthVersionLast="46" xr6:coauthVersionMax="46" xr10:uidLastSave="{00000000-0000-0000-0000-000000000000}"/>
  <bookViews>
    <workbookView xWindow="-110" yWindow="-110" windowWidth="19420" windowHeight="10420" tabRatio="839" xr2:uid="{C7528DA4-C30C-4899-9845-402D990A40D8}"/>
  </bookViews>
  <sheets>
    <sheet name="About This Model" sheetId="26" r:id="rId1"/>
    <sheet name="Fed Bs Rt+IME+GME+VBP+RAA+HAC" sheetId="11" r:id="rId2"/>
    <sheet name="New Rates" sheetId="19" r:id="rId3"/>
    <sheet name="Low Discharge" sheetId="16" r:id="rId4"/>
    <sheet name="Characteristics" sheetId="5" r:id="rId5"/>
    <sheet name=" FY 2022 CN Tables 1A-1E " sheetId="22" r:id="rId6"/>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S6" i="19" l="1"/>
  <c r="CF6" i="19"/>
  <c r="Y89" i="19" l="1"/>
  <c r="Y88" i="19"/>
  <c r="Y87" i="19"/>
  <c r="Y86" i="19"/>
  <c r="Y85" i="19"/>
  <c r="Y84" i="19"/>
  <c r="Y83" i="19"/>
  <c r="Y82" i="19"/>
  <c r="Y81" i="19"/>
  <c r="Y80" i="19"/>
  <c r="Y79" i="19"/>
  <c r="Y78" i="19"/>
  <c r="Y77" i="19"/>
  <c r="Y76" i="19"/>
  <c r="Y75" i="19"/>
  <c r="Y74" i="19"/>
  <c r="Y73" i="19"/>
  <c r="Y72" i="19"/>
  <c r="Y71" i="19"/>
  <c r="Y70" i="19"/>
  <c r="Y69" i="19"/>
  <c r="Y68" i="19"/>
  <c r="Y67" i="19"/>
  <c r="Y66" i="19"/>
  <c r="Y65" i="19"/>
  <c r="Y64" i="19"/>
  <c r="Y63" i="19"/>
  <c r="Y62" i="19"/>
  <c r="Y61" i="19"/>
  <c r="Y60" i="19"/>
  <c r="Y59" i="19"/>
  <c r="Y58" i="19"/>
  <c r="Y57" i="19"/>
  <c r="Y56" i="19"/>
  <c r="Y55" i="19"/>
  <c r="Y54" i="19"/>
  <c r="Y53" i="19"/>
  <c r="Y52" i="19"/>
  <c r="Y51" i="19"/>
  <c r="Y50" i="19"/>
  <c r="Y49" i="19"/>
  <c r="Y48" i="19"/>
  <c r="Y47" i="19"/>
  <c r="Y46" i="19"/>
  <c r="Y45" i="19"/>
  <c r="Y44" i="19"/>
  <c r="Y43" i="19"/>
  <c r="Y42" i="19"/>
  <c r="Y41" i="19"/>
  <c r="Y40" i="19"/>
  <c r="Y39" i="19"/>
  <c r="Y38" i="19"/>
  <c r="Y37" i="19"/>
  <c r="Y36" i="19"/>
  <c r="Y35" i="19"/>
  <c r="Y34" i="19"/>
  <c r="Y33" i="19"/>
  <c r="Y32" i="19"/>
  <c r="Y31" i="19"/>
  <c r="Y30" i="19"/>
  <c r="Y29" i="19"/>
  <c r="Y28" i="19"/>
  <c r="Y27" i="19"/>
  <c r="Y26" i="19"/>
  <c r="Y25" i="19"/>
  <c r="Y24" i="19"/>
  <c r="Y23" i="19"/>
  <c r="Y22" i="19"/>
  <c r="Y21" i="19"/>
  <c r="Y20" i="19"/>
  <c r="Y19" i="19"/>
  <c r="Y18" i="19"/>
  <c r="Y17" i="19"/>
  <c r="Y16" i="19"/>
  <c r="Y15" i="19"/>
  <c r="Y14" i="19"/>
  <c r="Y13" i="19"/>
  <c r="Y12" i="19"/>
  <c r="Y11" i="19"/>
  <c r="Y10" i="19"/>
  <c r="Y9" i="19"/>
  <c r="Y8" i="19"/>
  <c r="Y7" i="19"/>
  <c r="Y6" i="19"/>
  <c r="L7" i="19" l="1"/>
  <c r="L8" i="19"/>
  <c r="L9" i="19"/>
  <c r="L10" i="19"/>
  <c r="L11" i="19"/>
  <c r="L12" i="19"/>
  <c r="L13" i="19"/>
  <c r="L14" i="19"/>
  <c r="L15" i="19"/>
  <c r="L16" i="19"/>
  <c r="L17" i="19"/>
  <c r="L18" i="19"/>
  <c r="L19" i="19"/>
  <c r="L20" i="19"/>
  <c r="L21" i="19"/>
  <c r="L22" i="19"/>
  <c r="L23" i="19"/>
  <c r="L24" i="19"/>
  <c r="L25" i="19"/>
  <c r="L26" i="19"/>
  <c r="L27" i="19"/>
  <c r="L28" i="19"/>
  <c r="L29" i="19"/>
  <c r="L30" i="19"/>
  <c r="L31" i="19"/>
  <c r="L32" i="19"/>
  <c r="L33" i="19"/>
  <c r="L34" i="19"/>
  <c r="L35" i="19"/>
  <c r="L36" i="19"/>
  <c r="L37" i="19"/>
  <c r="L38" i="19"/>
  <c r="L39" i="19"/>
  <c r="L40" i="19"/>
  <c r="L41" i="19"/>
  <c r="L42" i="19"/>
  <c r="L43" i="19"/>
  <c r="L44" i="19"/>
  <c r="L45" i="19"/>
  <c r="L46" i="19"/>
  <c r="L47" i="19"/>
  <c r="L48" i="19"/>
  <c r="L49" i="19"/>
  <c r="L50" i="19"/>
  <c r="L51" i="19"/>
  <c r="L52" i="19"/>
  <c r="L53" i="19"/>
  <c r="L54" i="19"/>
  <c r="L55" i="19"/>
  <c r="L56" i="19"/>
  <c r="L57" i="19"/>
  <c r="L58" i="19"/>
  <c r="L59" i="19"/>
  <c r="L60" i="19"/>
  <c r="L61" i="19"/>
  <c r="L62" i="19"/>
  <c r="L63" i="19"/>
  <c r="L64" i="19"/>
  <c r="L65" i="19"/>
  <c r="L66" i="19"/>
  <c r="L67" i="19"/>
  <c r="L68" i="19"/>
  <c r="L69" i="19"/>
  <c r="L70" i="19"/>
  <c r="L71" i="19"/>
  <c r="L72" i="19"/>
  <c r="L73" i="19"/>
  <c r="L74" i="19"/>
  <c r="L75" i="19"/>
  <c r="L76" i="19"/>
  <c r="L77" i="19"/>
  <c r="L78" i="19"/>
  <c r="L79" i="19"/>
  <c r="L80" i="19"/>
  <c r="L81" i="19"/>
  <c r="L82" i="19"/>
  <c r="L83" i="19"/>
  <c r="L84" i="19"/>
  <c r="L85" i="19"/>
  <c r="L86" i="19"/>
  <c r="L87" i="19"/>
  <c r="L88" i="19"/>
  <c r="L89" i="19"/>
  <c r="L6" i="19"/>
  <c r="CQ4" i="19"/>
  <c r="K7" i="19" l="1"/>
  <c r="K8" i="19"/>
  <c r="K11" i="19"/>
  <c r="K12" i="19"/>
  <c r="K13" i="19"/>
  <c r="K14" i="19"/>
  <c r="K16" i="19"/>
  <c r="K17" i="19"/>
  <c r="K18" i="19"/>
  <c r="K19" i="19"/>
  <c r="K21" i="19"/>
  <c r="K22" i="19"/>
  <c r="K23" i="19"/>
  <c r="K24" i="19"/>
  <c r="K25" i="19"/>
  <c r="K26" i="19"/>
  <c r="K27" i="19"/>
  <c r="K30" i="19"/>
  <c r="K31" i="19"/>
  <c r="K32" i="19"/>
  <c r="K37" i="19"/>
  <c r="K38" i="19"/>
  <c r="K39" i="19"/>
  <c r="K40" i="19"/>
  <c r="K41" i="19"/>
  <c r="K42" i="19"/>
  <c r="K43" i="19"/>
  <c r="K44" i="19"/>
  <c r="K45" i="19"/>
  <c r="K46" i="19"/>
  <c r="K47" i="19"/>
  <c r="K48" i="19"/>
  <c r="K49" i="19"/>
  <c r="K50" i="19"/>
  <c r="K51" i="19"/>
  <c r="K52" i="19"/>
  <c r="K53" i="19"/>
  <c r="K54" i="19"/>
  <c r="K55" i="19"/>
  <c r="K56" i="19"/>
  <c r="K57" i="19"/>
  <c r="K58" i="19"/>
  <c r="K59" i="19"/>
  <c r="K60" i="19"/>
  <c r="K61" i="19"/>
  <c r="K62" i="19"/>
  <c r="K63" i="19"/>
  <c r="K64" i="19"/>
  <c r="K65" i="19"/>
  <c r="K66" i="19"/>
  <c r="K67" i="19"/>
  <c r="K68" i="19"/>
  <c r="K69" i="19"/>
  <c r="K70" i="19"/>
  <c r="K71" i="19"/>
  <c r="K72" i="19"/>
  <c r="K73" i="19"/>
  <c r="K74" i="19"/>
  <c r="K75" i="19"/>
  <c r="K76" i="19"/>
  <c r="K77" i="19"/>
  <c r="K78" i="19"/>
  <c r="K79" i="19"/>
  <c r="K80" i="19"/>
  <c r="K81" i="19"/>
  <c r="K82" i="19"/>
  <c r="K83" i="19"/>
  <c r="K84" i="19"/>
  <c r="K85" i="19"/>
  <c r="K86" i="19"/>
  <c r="K87" i="19"/>
  <c r="K88" i="19"/>
  <c r="K89" i="19"/>
  <c r="K6" i="19"/>
  <c r="J7" i="19"/>
  <c r="J8" i="19"/>
  <c r="J9" i="19"/>
  <c r="J10" i="19"/>
  <c r="J11" i="19"/>
  <c r="J12" i="19"/>
  <c r="J13" i="19"/>
  <c r="J14" i="19"/>
  <c r="J15" i="19"/>
  <c r="J16" i="19"/>
  <c r="J17" i="19"/>
  <c r="J18" i="19"/>
  <c r="J19" i="19"/>
  <c r="J20" i="19"/>
  <c r="J21" i="19"/>
  <c r="J22" i="19"/>
  <c r="J23" i="19"/>
  <c r="J24" i="19"/>
  <c r="J25" i="19"/>
  <c r="J26" i="19"/>
  <c r="J27" i="19"/>
  <c r="J28" i="19"/>
  <c r="J29" i="19"/>
  <c r="J30" i="19"/>
  <c r="J31" i="19"/>
  <c r="J32" i="19"/>
  <c r="J33" i="19"/>
  <c r="J34" i="19"/>
  <c r="J35" i="19"/>
  <c r="J36" i="19"/>
  <c r="J37" i="19"/>
  <c r="J38" i="19"/>
  <c r="J39" i="19"/>
  <c r="J40" i="19"/>
  <c r="J41" i="19"/>
  <c r="J42" i="19"/>
  <c r="J43" i="19"/>
  <c r="J44" i="19"/>
  <c r="J45" i="19"/>
  <c r="J46" i="19"/>
  <c r="J47" i="19"/>
  <c r="J48" i="19"/>
  <c r="J49" i="19"/>
  <c r="J50" i="19"/>
  <c r="J51" i="19"/>
  <c r="J52" i="19"/>
  <c r="J53" i="19"/>
  <c r="J54" i="19"/>
  <c r="J55" i="19"/>
  <c r="J88" i="19"/>
  <c r="J89" i="19"/>
  <c r="J6" i="19"/>
  <c r="U92" i="19"/>
  <c r="T5" i="11" l="1"/>
  <c r="K6" i="11" l="1"/>
  <c r="K7" i="11"/>
  <c r="K8" i="11"/>
  <c r="L8" i="11" s="1"/>
  <c r="K9" i="11"/>
  <c r="K10" i="11"/>
  <c r="K11" i="11"/>
  <c r="K12" i="11"/>
  <c r="K13" i="11"/>
  <c r="K14" i="11"/>
  <c r="K15" i="11"/>
  <c r="K16" i="11"/>
  <c r="L16" i="11" s="1"/>
  <c r="K17" i="11"/>
  <c r="K18" i="11"/>
  <c r="K19" i="11"/>
  <c r="K20" i="11"/>
  <c r="K21" i="11"/>
  <c r="K22" i="11"/>
  <c r="L22" i="11" s="1"/>
  <c r="K23" i="11"/>
  <c r="K24" i="11"/>
  <c r="L24" i="11" s="1"/>
  <c r="K25" i="11"/>
  <c r="K26" i="11"/>
  <c r="K27" i="11"/>
  <c r="K28" i="11"/>
  <c r="K29" i="11"/>
  <c r="K30" i="11"/>
  <c r="L30" i="11" s="1"/>
  <c r="K31" i="11"/>
  <c r="K32" i="11"/>
  <c r="L32" i="11" s="1"/>
  <c r="K33" i="11"/>
  <c r="K34" i="11"/>
  <c r="K35" i="11"/>
  <c r="K36" i="11"/>
  <c r="K37" i="11"/>
  <c r="K38" i="11"/>
  <c r="L38" i="11" s="1"/>
  <c r="K39" i="11"/>
  <c r="K40" i="11"/>
  <c r="L40" i="11" s="1"/>
  <c r="K41" i="11"/>
  <c r="K42" i="11"/>
  <c r="K43" i="11"/>
  <c r="K44" i="11"/>
  <c r="K45" i="11"/>
  <c r="K46" i="11"/>
  <c r="K47" i="11"/>
  <c r="K48" i="11"/>
  <c r="K49" i="11"/>
  <c r="K50" i="11"/>
  <c r="K51" i="11"/>
  <c r="K52" i="11"/>
  <c r="K53" i="11"/>
  <c r="L53" i="11" s="1"/>
  <c r="K54" i="11"/>
  <c r="K55" i="11"/>
  <c r="K56" i="11"/>
  <c r="L56" i="11" s="1"/>
  <c r="K57" i="11"/>
  <c r="K58" i="11"/>
  <c r="K59" i="11"/>
  <c r="K60" i="11"/>
  <c r="K61" i="11"/>
  <c r="K62" i="11"/>
  <c r="L62" i="11" s="1"/>
  <c r="K63" i="11"/>
  <c r="K64" i="11"/>
  <c r="L64" i="11" s="1"/>
  <c r="K65" i="11"/>
  <c r="K66" i="11"/>
  <c r="K67" i="11"/>
  <c r="K68" i="11"/>
  <c r="K69" i="11"/>
  <c r="K70" i="11"/>
  <c r="L70" i="11" s="1"/>
  <c r="K71" i="11"/>
  <c r="K72" i="11"/>
  <c r="L72" i="11" s="1"/>
  <c r="K73" i="11"/>
  <c r="K74" i="11"/>
  <c r="K75" i="11"/>
  <c r="K76" i="11"/>
  <c r="K77" i="11"/>
  <c r="K78" i="11"/>
  <c r="L78" i="11" s="1"/>
  <c r="K79" i="11"/>
  <c r="K80" i="11"/>
  <c r="L80" i="11" s="1"/>
  <c r="K81" i="11"/>
  <c r="K82" i="11"/>
  <c r="K83" i="11"/>
  <c r="K84" i="11"/>
  <c r="K85" i="11"/>
  <c r="K86" i="11"/>
  <c r="L86" i="11" s="1"/>
  <c r="K87" i="11"/>
  <c r="K88" i="11"/>
  <c r="L88" i="11" s="1"/>
  <c r="K5" i="11"/>
  <c r="I6" i="11"/>
  <c r="I7" i="11"/>
  <c r="I8" i="11"/>
  <c r="I9" i="11"/>
  <c r="I10" i="11"/>
  <c r="I11" i="11"/>
  <c r="I12" i="11"/>
  <c r="I13" i="11"/>
  <c r="I14" i="11"/>
  <c r="I15" i="11"/>
  <c r="I16" i="11"/>
  <c r="I17" i="11"/>
  <c r="I18" i="11"/>
  <c r="I19" i="11"/>
  <c r="I20" i="11"/>
  <c r="I21" i="11"/>
  <c r="I22" i="11"/>
  <c r="I23" i="11"/>
  <c r="I24" i="11"/>
  <c r="I25" i="11"/>
  <c r="I26" i="11"/>
  <c r="I27" i="11"/>
  <c r="I28" i="11"/>
  <c r="I29" i="11"/>
  <c r="I30" i="11"/>
  <c r="I31" i="11"/>
  <c r="I32" i="11"/>
  <c r="I33" i="11"/>
  <c r="I34" i="11"/>
  <c r="I35" i="11"/>
  <c r="I36" i="11"/>
  <c r="I37" i="11"/>
  <c r="I38" i="11"/>
  <c r="I39" i="11"/>
  <c r="I40" i="11"/>
  <c r="I41" i="11"/>
  <c r="L41" i="11" s="1"/>
  <c r="I42" i="11"/>
  <c r="I43" i="11"/>
  <c r="I44" i="11"/>
  <c r="I45" i="11"/>
  <c r="I46" i="11"/>
  <c r="I47" i="11"/>
  <c r="I48" i="11"/>
  <c r="I49" i="11"/>
  <c r="I50" i="11"/>
  <c r="I51" i="11"/>
  <c r="I52" i="11"/>
  <c r="L52" i="11" s="1"/>
  <c r="I53" i="11"/>
  <c r="I54" i="11"/>
  <c r="I55" i="11"/>
  <c r="I56" i="11"/>
  <c r="I57" i="11"/>
  <c r="I58" i="11"/>
  <c r="I59" i="11"/>
  <c r="I60" i="11"/>
  <c r="I61" i="11"/>
  <c r="I62" i="11"/>
  <c r="I63" i="11"/>
  <c r="I64" i="11"/>
  <c r="I65" i="11"/>
  <c r="L65" i="11" s="1"/>
  <c r="I66" i="11"/>
  <c r="I67" i="11"/>
  <c r="I68" i="11"/>
  <c r="I69" i="11"/>
  <c r="I70" i="11"/>
  <c r="I71" i="11"/>
  <c r="I72" i="11"/>
  <c r="I73" i="11"/>
  <c r="L73" i="11" s="1"/>
  <c r="I74" i="11"/>
  <c r="I75" i="11"/>
  <c r="I76" i="11"/>
  <c r="I77" i="11"/>
  <c r="I78" i="11"/>
  <c r="I79" i="11"/>
  <c r="I80" i="11"/>
  <c r="I81" i="11"/>
  <c r="I82" i="11"/>
  <c r="I83" i="11"/>
  <c r="I84" i="11"/>
  <c r="I85" i="11"/>
  <c r="I86" i="11"/>
  <c r="I87" i="11"/>
  <c r="I88" i="11"/>
  <c r="I5" i="11"/>
  <c r="L14" i="11"/>
  <c r="L19" i="11"/>
  <c r="L35" i="11"/>
  <c r="L46" i="11"/>
  <c r="L54" i="11"/>
  <c r="L67" i="11"/>
  <c r="L83" i="11"/>
  <c r="L6" i="11"/>
  <c r="L7" i="11"/>
  <c r="M6" i="11"/>
  <c r="M7" i="11"/>
  <c r="M8" i="11"/>
  <c r="M9" i="11"/>
  <c r="M10" i="11"/>
  <c r="M11" i="11"/>
  <c r="M12" i="11"/>
  <c r="M13" i="11"/>
  <c r="M14" i="11"/>
  <c r="M15" i="11"/>
  <c r="M16" i="11"/>
  <c r="M17" i="11"/>
  <c r="M18" i="11"/>
  <c r="M19" i="11"/>
  <c r="M20" i="11"/>
  <c r="M21" i="11"/>
  <c r="M22" i="11"/>
  <c r="M23" i="11"/>
  <c r="M24" i="11"/>
  <c r="M25" i="11"/>
  <c r="M26" i="11"/>
  <c r="M27" i="11"/>
  <c r="M28" i="11"/>
  <c r="M29" i="11"/>
  <c r="M30" i="11"/>
  <c r="M31" i="11"/>
  <c r="M32" i="11"/>
  <c r="M33" i="11"/>
  <c r="M34" i="11"/>
  <c r="M35" i="11"/>
  <c r="M36" i="11"/>
  <c r="M37" i="11"/>
  <c r="M38" i="11"/>
  <c r="M39" i="11"/>
  <c r="M40" i="11"/>
  <c r="M41" i="11"/>
  <c r="M42" i="11"/>
  <c r="M43" i="11"/>
  <c r="M44" i="11"/>
  <c r="M45" i="11"/>
  <c r="M46" i="11"/>
  <c r="M47" i="11"/>
  <c r="M48" i="11"/>
  <c r="M49" i="11"/>
  <c r="M50" i="11"/>
  <c r="M51" i="11"/>
  <c r="M52" i="11"/>
  <c r="M53" i="11"/>
  <c r="M54" i="11"/>
  <c r="M55" i="11"/>
  <c r="M56" i="11"/>
  <c r="M57" i="11"/>
  <c r="M58" i="11"/>
  <c r="M59" i="11"/>
  <c r="M60" i="11"/>
  <c r="M61" i="11"/>
  <c r="M62" i="11"/>
  <c r="M63" i="11"/>
  <c r="M64" i="11"/>
  <c r="M65" i="11"/>
  <c r="M66" i="11"/>
  <c r="M67" i="11"/>
  <c r="M68" i="11"/>
  <c r="M69" i="11"/>
  <c r="M70" i="11"/>
  <c r="M71" i="11"/>
  <c r="M72" i="11"/>
  <c r="M73" i="11"/>
  <c r="M74" i="11"/>
  <c r="M75" i="11"/>
  <c r="M76" i="11"/>
  <c r="M77" i="11"/>
  <c r="M78" i="11"/>
  <c r="M79" i="11"/>
  <c r="M80" i="11"/>
  <c r="M81" i="11"/>
  <c r="M82" i="11"/>
  <c r="M83" i="11"/>
  <c r="M84" i="11"/>
  <c r="M85" i="11"/>
  <c r="M86" i="11"/>
  <c r="M87" i="11"/>
  <c r="M88" i="11"/>
  <c r="M5" i="11"/>
  <c r="L10" i="11"/>
  <c r="L18" i="11"/>
  <c r="L26" i="11"/>
  <c r="L34" i="11"/>
  <c r="L42" i="11"/>
  <c r="L50" i="11"/>
  <c r="L9" i="11"/>
  <c r="L11" i="11"/>
  <c r="L12" i="11"/>
  <c r="L15" i="11"/>
  <c r="L17" i="11"/>
  <c r="L20" i="11"/>
  <c r="L23" i="11"/>
  <c r="L25" i="11"/>
  <c r="L27" i="11"/>
  <c r="L28" i="11"/>
  <c r="L31" i="11"/>
  <c r="L33" i="11"/>
  <c r="L36" i="11"/>
  <c r="L39" i="11"/>
  <c r="L43" i="11"/>
  <c r="L44" i="11"/>
  <c r="L47" i="11"/>
  <c r="L48" i="11"/>
  <c r="L49" i="11"/>
  <c r="L51" i="11"/>
  <c r="L55" i="11"/>
  <c r="L57" i="11"/>
  <c r="L58" i="11"/>
  <c r="L59" i="11"/>
  <c r="L63" i="11"/>
  <c r="L66" i="11"/>
  <c r="L71" i="11"/>
  <c r="L74" i="11"/>
  <c r="L75" i="11"/>
  <c r="L79" i="11"/>
  <c r="L81" i="11"/>
  <c r="L82" i="11"/>
  <c r="L87" i="11"/>
  <c r="D8" i="22"/>
  <c r="C7" i="22"/>
  <c r="B7" i="22"/>
  <c r="C6" i="22"/>
  <c r="B6" i="22"/>
  <c r="C5" i="22"/>
  <c r="C8" i="22" s="1"/>
  <c r="B5" i="22"/>
  <c r="B8" i="22" s="1"/>
  <c r="L85" i="11" l="1"/>
  <c r="L77" i="11"/>
  <c r="L69" i="11"/>
  <c r="L61" i="11"/>
  <c r="L45" i="11"/>
  <c r="L37" i="11"/>
  <c r="L29" i="11"/>
  <c r="L21" i="11"/>
  <c r="L13" i="11"/>
  <c r="L84" i="11"/>
  <c r="L76" i="11"/>
  <c r="L68" i="11"/>
  <c r="L60" i="11"/>
  <c r="S7" i="19"/>
  <c r="S8" i="19"/>
  <c r="S9" i="19"/>
  <c r="S10" i="19"/>
  <c r="S11" i="19"/>
  <c r="S12" i="19"/>
  <c r="S13" i="19"/>
  <c r="S14" i="19"/>
  <c r="S15" i="19"/>
  <c r="S16" i="19"/>
  <c r="S17" i="19"/>
  <c r="S18" i="19"/>
  <c r="S19" i="19"/>
  <c r="S20" i="19"/>
  <c r="S21" i="19"/>
  <c r="S22" i="19"/>
  <c r="S23" i="19"/>
  <c r="S24" i="19"/>
  <c r="S25" i="19"/>
  <c r="S26" i="19"/>
  <c r="S27" i="19"/>
  <c r="S28" i="19"/>
  <c r="S29" i="19"/>
  <c r="S30" i="19"/>
  <c r="S31" i="19"/>
  <c r="S32" i="19"/>
  <c r="S33" i="19"/>
  <c r="S34" i="19"/>
  <c r="S35" i="19"/>
  <c r="S36" i="19"/>
  <c r="S37" i="19"/>
  <c r="S38" i="19"/>
  <c r="S39" i="19"/>
  <c r="S40" i="19"/>
  <c r="S41" i="19"/>
  <c r="S42" i="19"/>
  <c r="S43" i="19"/>
  <c r="S44" i="19"/>
  <c r="S45" i="19"/>
  <c r="S46" i="19"/>
  <c r="S47" i="19"/>
  <c r="S48" i="19"/>
  <c r="S49" i="19"/>
  <c r="S50" i="19"/>
  <c r="S51" i="19"/>
  <c r="S52" i="19"/>
  <c r="S53" i="19"/>
  <c r="S54" i="19"/>
  <c r="S55" i="19"/>
  <c r="S56" i="19"/>
  <c r="S57" i="19"/>
  <c r="S58" i="19"/>
  <c r="S59" i="19"/>
  <c r="S60" i="19"/>
  <c r="S61" i="19"/>
  <c r="S62" i="19"/>
  <c r="S63" i="19"/>
  <c r="S64" i="19"/>
  <c r="S65" i="19"/>
  <c r="S66" i="19"/>
  <c r="S67" i="19"/>
  <c r="S68" i="19"/>
  <c r="S69" i="19"/>
  <c r="S70" i="19"/>
  <c r="S71" i="19"/>
  <c r="S72" i="19"/>
  <c r="S73" i="19"/>
  <c r="S74" i="19"/>
  <c r="S75" i="19"/>
  <c r="S76" i="19"/>
  <c r="S77" i="19"/>
  <c r="S78" i="19"/>
  <c r="S79" i="19"/>
  <c r="S80" i="19"/>
  <c r="S81" i="19"/>
  <c r="S82" i="19"/>
  <c r="S83" i="19"/>
  <c r="S84" i="19"/>
  <c r="S85" i="19"/>
  <c r="S86" i="19"/>
  <c r="S87" i="19"/>
  <c r="S88" i="19"/>
  <c r="S89" i="19"/>
  <c r="S6" i="19"/>
  <c r="O71" i="19" l="1"/>
  <c r="I89" i="19" l="1"/>
  <c r="I88" i="19"/>
  <c r="I87" i="19"/>
  <c r="I86" i="19"/>
  <c r="I85" i="19"/>
  <c r="I84" i="19"/>
  <c r="I83" i="19"/>
  <c r="I82" i="19"/>
  <c r="I81" i="19"/>
  <c r="I80" i="19"/>
  <c r="I79" i="19"/>
  <c r="I78" i="19"/>
  <c r="I77" i="19"/>
  <c r="I76" i="19"/>
  <c r="I75" i="19"/>
  <c r="I74" i="19"/>
  <c r="I73" i="19"/>
  <c r="I72" i="19"/>
  <c r="I71" i="19"/>
  <c r="I70" i="19"/>
  <c r="I69" i="19"/>
  <c r="I68" i="19"/>
  <c r="I67" i="19"/>
  <c r="I66" i="19"/>
  <c r="I65" i="19"/>
  <c r="I64" i="19"/>
  <c r="I63" i="19"/>
  <c r="I62" i="19"/>
  <c r="I61" i="19"/>
  <c r="I60" i="19"/>
  <c r="I59" i="19"/>
  <c r="I58" i="19"/>
  <c r="I57" i="19"/>
  <c r="I56" i="19"/>
  <c r="I55" i="19"/>
  <c r="I54" i="19"/>
  <c r="I53" i="19"/>
  <c r="I52" i="19"/>
  <c r="I51" i="19"/>
  <c r="I50" i="19"/>
  <c r="I49" i="19"/>
  <c r="I48" i="19"/>
  <c r="I47" i="19"/>
  <c r="I46" i="19"/>
  <c r="I45" i="19"/>
  <c r="I44" i="19"/>
  <c r="I43" i="19"/>
  <c r="I42" i="19"/>
  <c r="I41" i="19"/>
  <c r="I40" i="19"/>
  <c r="I39" i="19"/>
  <c r="I38" i="19"/>
  <c r="I37" i="19"/>
  <c r="I36" i="19"/>
  <c r="I35" i="19"/>
  <c r="I34" i="19"/>
  <c r="I33" i="19"/>
  <c r="I32" i="19"/>
  <c r="I31" i="19"/>
  <c r="I30" i="19"/>
  <c r="I29" i="19"/>
  <c r="I28" i="19"/>
  <c r="I27" i="19"/>
  <c r="I26" i="19"/>
  <c r="I25" i="19"/>
  <c r="I24" i="19"/>
  <c r="I23" i="19"/>
  <c r="I22" i="19"/>
  <c r="I21" i="19"/>
  <c r="I20" i="19"/>
  <c r="I19" i="19"/>
  <c r="I18" i="19"/>
  <c r="I17" i="19"/>
  <c r="I16" i="19"/>
  <c r="I15" i="19"/>
  <c r="I14" i="19"/>
  <c r="I13" i="19"/>
  <c r="I12" i="19"/>
  <c r="I11" i="19"/>
  <c r="I10" i="19"/>
  <c r="I9" i="19"/>
  <c r="I8" i="19"/>
  <c r="I7" i="19"/>
  <c r="I6" i="19"/>
  <c r="M7" i="19"/>
  <c r="M8" i="19"/>
  <c r="M9" i="19"/>
  <c r="M10" i="19"/>
  <c r="M11" i="19"/>
  <c r="M12" i="19"/>
  <c r="M13" i="19"/>
  <c r="M14" i="19"/>
  <c r="M15" i="19"/>
  <c r="M16" i="19"/>
  <c r="M17" i="19"/>
  <c r="M18" i="19"/>
  <c r="M19" i="19"/>
  <c r="M20" i="19"/>
  <c r="M21" i="19"/>
  <c r="M22" i="19"/>
  <c r="M23" i="19"/>
  <c r="M24" i="19"/>
  <c r="M25" i="19"/>
  <c r="M26" i="19"/>
  <c r="M27" i="19"/>
  <c r="M28" i="19"/>
  <c r="M29" i="19"/>
  <c r="M30" i="19"/>
  <c r="M31" i="19"/>
  <c r="M32" i="19"/>
  <c r="M33" i="19"/>
  <c r="M34" i="19"/>
  <c r="M35" i="19"/>
  <c r="M36" i="19"/>
  <c r="M37" i="19"/>
  <c r="M38" i="19"/>
  <c r="M39" i="19"/>
  <c r="M40" i="19"/>
  <c r="M41" i="19"/>
  <c r="M42" i="19"/>
  <c r="M43" i="19"/>
  <c r="M44" i="19"/>
  <c r="M45" i="19"/>
  <c r="M46" i="19"/>
  <c r="M47" i="19"/>
  <c r="M48" i="19"/>
  <c r="M49" i="19"/>
  <c r="M50" i="19"/>
  <c r="M51" i="19"/>
  <c r="M52" i="19"/>
  <c r="M53" i="19"/>
  <c r="M54" i="19"/>
  <c r="M55" i="19"/>
  <c r="M56" i="19"/>
  <c r="M57" i="19"/>
  <c r="M58" i="19"/>
  <c r="M59" i="19"/>
  <c r="M60" i="19"/>
  <c r="M61" i="19"/>
  <c r="M62" i="19"/>
  <c r="M63" i="19"/>
  <c r="M64" i="19"/>
  <c r="M65" i="19"/>
  <c r="M66" i="19"/>
  <c r="M67" i="19"/>
  <c r="M68" i="19"/>
  <c r="M69" i="19"/>
  <c r="M70" i="19"/>
  <c r="M71" i="19"/>
  <c r="M72" i="19"/>
  <c r="M73" i="19"/>
  <c r="M74" i="19"/>
  <c r="M75" i="19"/>
  <c r="M76" i="19"/>
  <c r="M77" i="19"/>
  <c r="M78" i="19"/>
  <c r="M79" i="19"/>
  <c r="M80" i="19"/>
  <c r="M81" i="19"/>
  <c r="M82" i="19"/>
  <c r="M83" i="19"/>
  <c r="M84" i="19"/>
  <c r="M85" i="19"/>
  <c r="M86" i="19"/>
  <c r="M87" i="19"/>
  <c r="M6" i="19"/>
  <c r="O7" i="19"/>
  <c r="O8" i="19"/>
  <c r="O9" i="19"/>
  <c r="O11" i="19"/>
  <c r="O12" i="19"/>
  <c r="O14" i="19"/>
  <c r="O15" i="19"/>
  <c r="O16" i="19"/>
  <c r="O17" i="19"/>
  <c r="O19" i="19"/>
  <c r="O20" i="19"/>
  <c r="O21" i="19"/>
  <c r="O23" i="19"/>
  <c r="O24" i="19"/>
  <c r="O25" i="19"/>
  <c r="O26" i="19"/>
  <c r="O27" i="19"/>
  <c r="O28" i="19"/>
  <c r="O29" i="19"/>
  <c r="O30" i="19"/>
  <c r="O31" i="19"/>
  <c r="O32" i="19"/>
  <c r="O34" i="19"/>
  <c r="O35" i="19"/>
  <c r="O36" i="19"/>
  <c r="O37" i="19"/>
  <c r="O38" i="19"/>
  <c r="O39" i="19"/>
  <c r="O41" i="19"/>
  <c r="O42" i="19"/>
  <c r="O43" i="19"/>
  <c r="O44" i="19"/>
  <c r="O45" i="19"/>
  <c r="O46" i="19"/>
  <c r="O47" i="19"/>
  <c r="O48" i="19"/>
  <c r="O49" i="19"/>
  <c r="O50" i="19"/>
  <c r="O51" i="19"/>
  <c r="O52" i="19"/>
  <c r="O53" i="19"/>
  <c r="O54" i="19"/>
  <c r="O55" i="19"/>
  <c r="O57" i="19"/>
  <c r="O58" i="19"/>
  <c r="O59" i="19"/>
  <c r="O60" i="19"/>
  <c r="O66" i="19"/>
  <c r="O76" i="19"/>
  <c r="O77" i="19"/>
  <c r="O78" i="19"/>
  <c r="O82" i="19"/>
  <c r="O86" i="19"/>
  <c r="O87" i="19"/>
  <c r="O88" i="19"/>
  <c r="O89" i="19"/>
  <c r="O6" i="19"/>
  <c r="E14" i="16" l="1"/>
  <c r="N14" i="19" l="1"/>
  <c r="N27" i="19"/>
  <c r="N41" i="19"/>
  <c r="N49" i="19"/>
  <c r="N59" i="19"/>
  <c r="N68" i="19"/>
  <c r="N78" i="19"/>
  <c r="N87" i="19"/>
  <c r="N55" i="19"/>
  <c r="N15" i="19"/>
  <c r="N29" i="19"/>
  <c r="N42" i="19"/>
  <c r="N50" i="19"/>
  <c r="N61" i="19"/>
  <c r="N69" i="19"/>
  <c r="N79" i="19"/>
  <c r="N35" i="19"/>
  <c r="N17" i="19"/>
  <c r="N30" i="19"/>
  <c r="N43" i="19"/>
  <c r="N51" i="19"/>
  <c r="N62" i="19"/>
  <c r="N70" i="19"/>
  <c r="N80" i="19"/>
  <c r="N9" i="19"/>
  <c r="N65" i="19"/>
  <c r="N22" i="19"/>
  <c r="N31" i="19"/>
  <c r="N44" i="19"/>
  <c r="N53" i="19"/>
  <c r="N63" i="19"/>
  <c r="N71" i="19"/>
  <c r="N81" i="19"/>
  <c r="N83" i="19"/>
  <c r="N7" i="19"/>
  <c r="N23" i="19"/>
  <c r="N33" i="19"/>
  <c r="N45" i="19"/>
  <c r="N54" i="19"/>
  <c r="N64" i="19"/>
  <c r="N73" i="19"/>
  <c r="N82" i="19"/>
  <c r="N46" i="19"/>
  <c r="N11" i="19"/>
  <c r="N25" i="19"/>
  <c r="N36" i="19"/>
  <c r="N47" i="19"/>
  <c r="N57" i="19"/>
  <c r="N66" i="19"/>
  <c r="N76" i="19"/>
  <c r="N84" i="19"/>
  <c r="N75" i="19"/>
  <c r="N12" i="19"/>
  <c r="N26" i="19"/>
  <c r="N39" i="19"/>
  <c r="N48" i="19"/>
  <c r="N58" i="19"/>
  <c r="N67" i="19"/>
  <c r="N77" i="19"/>
  <c r="N86" i="19"/>
  <c r="N24" i="19"/>
  <c r="AA89" i="19"/>
  <c r="AA88" i="19"/>
  <c r="AA87" i="19"/>
  <c r="AA86" i="19"/>
  <c r="Z85" i="19"/>
  <c r="AA84" i="19"/>
  <c r="Z84" i="19"/>
  <c r="AA82" i="19"/>
  <c r="AA80" i="19"/>
  <c r="AA79" i="19"/>
  <c r="AA78" i="19"/>
  <c r="AA75" i="19"/>
  <c r="AA73" i="19"/>
  <c r="Z71" i="19"/>
  <c r="AA71" i="19"/>
  <c r="AA70" i="19"/>
  <c r="Z70" i="19"/>
  <c r="Z69" i="19"/>
  <c r="AA68" i="19"/>
  <c r="AA66" i="19"/>
  <c r="Z65" i="19"/>
  <c r="AA64" i="19"/>
  <c r="Z63" i="19"/>
  <c r="AA62" i="19"/>
  <c r="AA61" i="19"/>
  <c r="AA59" i="19"/>
  <c r="Z56" i="19"/>
  <c r="AA55" i="19"/>
  <c r="AA54" i="19"/>
  <c r="AA53" i="19"/>
  <c r="AA52" i="19"/>
  <c r="Z51" i="19"/>
  <c r="AA50" i="19"/>
  <c r="Z49" i="19"/>
  <c r="AA48" i="19"/>
  <c r="AA47" i="19"/>
  <c r="AA46" i="19"/>
  <c r="AA44" i="19"/>
  <c r="Z43" i="19"/>
  <c r="AA42" i="19"/>
  <c r="Z41" i="19"/>
  <c r="AA39" i="19"/>
  <c r="AA38" i="19"/>
  <c r="AA37" i="19"/>
  <c r="Z36" i="19"/>
  <c r="AA35" i="19"/>
  <c r="AA34" i="19"/>
  <c r="AA33" i="19"/>
  <c r="AA32" i="19"/>
  <c r="AA30" i="19"/>
  <c r="AA29" i="19"/>
  <c r="Z28" i="19"/>
  <c r="AA27" i="19"/>
  <c r="AA25" i="19"/>
  <c r="Z24" i="19"/>
  <c r="AA23" i="19"/>
  <c r="AA22" i="19"/>
  <c r="Z21" i="19"/>
  <c r="AA20" i="19"/>
  <c r="Z19" i="19"/>
  <c r="AA18" i="19"/>
  <c r="Z17" i="19"/>
  <c r="AA17" i="19"/>
  <c r="AA16" i="19"/>
  <c r="Z16" i="19"/>
  <c r="Z15" i="19"/>
  <c r="AA14" i="19"/>
  <c r="Z13" i="19"/>
  <c r="AA12" i="19"/>
  <c r="Z11" i="19"/>
  <c r="Z10" i="19"/>
  <c r="AA9" i="19"/>
  <c r="AA8" i="19"/>
  <c r="AA7" i="19"/>
  <c r="AA6" i="19"/>
  <c r="Z6" i="19" l="1"/>
  <c r="Z8" i="19"/>
  <c r="AA65" i="19"/>
  <c r="AA36" i="19"/>
  <c r="AA43" i="19"/>
  <c r="Z52" i="19"/>
  <c r="AA21" i="19"/>
  <c r="AA51" i="19"/>
  <c r="Z35" i="19"/>
  <c r="Z37" i="19"/>
  <c r="AA19" i="19"/>
  <c r="AA56" i="19"/>
  <c r="Z66" i="19"/>
  <c r="AA49" i="19"/>
  <c r="Z82" i="19"/>
  <c r="Z27" i="19"/>
  <c r="Z29" i="19"/>
  <c r="Z42" i="19"/>
  <c r="Z46" i="19"/>
  <c r="Z55" i="19"/>
  <c r="Z64" i="19"/>
  <c r="Z79" i="19"/>
  <c r="AA85" i="19"/>
  <c r="Z9" i="19"/>
  <c r="AA13" i="19"/>
  <c r="AA15" i="19"/>
  <c r="Z23" i="19"/>
  <c r="Z25" i="19"/>
  <c r="Z68" i="19"/>
  <c r="Z87" i="19"/>
  <c r="AA28" i="19"/>
  <c r="AA41" i="19"/>
  <c r="AA63" i="19"/>
  <c r="Z80" i="19"/>
  <c r="Z86" i="19"/>
  <c r="Z14" i="19"/>
  <c r="AA24" i="19"/>
  <c r="Z30" i="19"/>
  <c r="AA69" i="19"/>
  <c r="Z75" i="19"/>
  <c r="Z33" i="19"/>
  <c r="AA10" i="19"/>
  <c r="AA11" i="19"/>
  <c r="Z12" i="19"/>
  <c r="AA31" i="19"/>
  <c r="Z31" i="19"/>
  <c r="T16" i="19"/>
  <c r="Z7" i="19"/>
  <c r="Z18" i="19"/>
  <c r="Z20" i="19"/>
  <c r="Z22" i="19"/>
  <c r="Z38" i="19"/>
  <c r="AA26" i="19"/>
  <c r="Z26" i="19"/>
  <c r="Z32" i="19"/>
  <c r="AA40" i="19"/>
  <c r="Z40" i="19"/>
  <c r="Z34" i="19"/>
  <c r="Z39" i="19"/>
  <c r="Z44" i="19"/>
  <c r="AA45" i="19"/>
  <c r="Z45" i="19"/>
  <c r="AA57" i="19"/>
  <c r="Z57" i="19"/>
  <c r="AA58" i="19"/>
  <c r="Z58" i="19"/>
  <c r="Z47" i="19"/>
  <c r="Z48" i="19"/>
  <c r="Z50" i="19"/>
  <c r="Z59" i="19"/>
  <c r="AA60" i="19"/>
  <c r="Z60" i="19"/>
  <c r="Z53" i="19"/>
  <c r="Z54" i="19"/>
  <c r="T59" i="19"/>
  <c r="AA74" i="19"/>
  <c r="Z74" i="19"/>
  <c r="AA72" i="19"/>
  <c r="Z72" i="19"/>
  <c r="Z61" i="19"/>
  <c r="Z62" i="19"/>
  <c r="AA67" i="19"/>
  <c r="Z67" i="19"/>
  <c r="AA76" i="19"/>
  <c r="Z76" i="19"/>
  <c r="Z73" i="19"/>
  <c r="AA77" i="19"/>
  <c r="Z77" i="19"/>
  <c r="Z81" i="19"/>
  <c r="AA81" i="19"/>
  <c r="AA83" i="19"/>
  <c r="Z83" i="19"/>
  <c r="Z78" i="19"/>
  <c r="Z88" i="19"/>
  <c r="Z89" i="19"/>
  <c r="T52" i="19" l="1"/>
  <c r="T62" i="19"/>
  <c r="T40" i="19"/>
  <c r="T87" i="19"/>
  <c r="T81" i="19"/>
  <c r="T56" i="19"/>
  <c r="T32" i="19"/>
  <c r="T21" i="19"/>
  <c r="T89" i="19"/>
  <c r="T73" i="19"/>
  <c r="T42" i="19"/>
  <c r="T29" i="19"/>
  <c r="T13" i="19"/>
  <c r="T54" i="19"/>
  <c r="T83" i="19"/>
  <c r="T33" i="19"/>
  <c r="T77" i="19"/>
  <c r="T11" i="19"/>
  <c r="T70" i="19"/>
  <c r="T61" i="19"/>
  <c r="T47" i="19"/>
  <c r="T63" i="19"/>
  <c r="T66" i="19"/>
  <c r="T58" i="19"/>
  <c r="T7" i="19"/>
  <c r="T8" i="19"/>
  <c r="T76" i="19"/>
  <c r="T51" i="19"/>
  <c r="T37" i="19"/>
  <c r="T18" i="19"/>
  <c r="T14" i="19"/>
  <c r="T28" i="19"/>
  <c r="T10" i="19"/>
  <c r="T55" i="19"/>
  <c r="T6" i="19"/>
  <c r="T41" i="19"/>
  <c r="T35" i="19"/>
  <c r="T79" i="19"/>
  <c r="T26" i="19"/>
  <c r="T44" i="19"/>
  <c r="T85" i="19"/>
  <c r="T69" i="19"/>
  <c r="T30" i="19"/>
  <c r="T64" i="19"/>
  <c r="T86" i="19"/>
  <c r="T78" i="19"/>
  <c r="T48" i="19"/>
  <c r="T19" i="19"/>
  <c r="T46" i="19"/>
  <c r="T24" i="19"/>
  <c r="T60" i="19"/>
  <c r="T74" i="19"/>
  <c r="T34" i="19"/>
  <c r="T45" i="19"/>
  <c r="T43" i="19"/>
  <c r="T49" i="19"/>
  <c r="T71" i="19"/>
  <c r="T75" i="19"/>
  <c r="T65" i="19"/>
  <c r="T36" i="19"/>
  <c r="T9" i="19"/>
  <c r="T27" i="19"/>
  <c r="T84" i="19"/>
  <c r="T39" i="19"/>
  <c r="T50" i="19"/>
  <c r="T68" i="19"/>
  <c r="T82" i="19"/>
  <c r="U90" i="19"/>
  <c r="T22" i="19"/>
  <c r="T20" i="19"/>
  <c r="T72" i="19"/>
  <c r="T23" i="19"/>
  <c r="T57" i="19"/>
  <c r="T80" i="19"/>
  <c r="T15" i="19"/>
  <c r="T12" i="19"/>
  <c r="T31" i="19"/>
  <c r="T38" i="19"/>
  <c r="T17" i="19"/>
  <c r="T25" i="19"/>
  <c r="T53" i="19"/>
  <c r="T88" i="19"/>
  <c r="T67" i="19"/>
  <c r="T90" i="19" l="1"/>
  <c r="CK91" i="19" s="1"/>
  <c r="AB88" i="11" l="1"/>
  <c r="Z88" i="11"/>
  <c r="E89" i="19" s="1"/>
  <c r="X88" i="11"/>
  <c r="F89" i="19" s="1"/>
  <c r="AB87" i="11"/>
  <c r="Z87" i="11"/>
  <c r="E88" i="19" s="1"/>
  <c r="X87" i="11"/>
  <c r="F88" i="19" s="1"/>
  <c r="AB86" i="11"/>
  <c r="Z86" i="11"/>
  <c r="E87" i="19" s="1"/>
  <c r="X86" i="11"/>
  <c r="F87" i="19" s="1"/>
  <c r="AB85" i="11"/>
  <c r="Z85" i="11"/>
  <c r="E86" i="19" s="1"/>
  <c r="X85" i="11"/>
  <c r="F86" i="19" s="1"/>
  <c r="AB84" i="11"/>
  <c r="Z84" i="11"/>
  <c r="E85" i="19" s="1"/>
  <c r="X84" i="11"/>
  <c r="F85" i="19" s="1"/>
  <c r="AB83" i="11"/>
  <c r="Z83" i="11"/>
  <c r="E84" i="19" s="1"/>
  <c r="X83" i="11"/>
  <c r="F84" i="19" s="1"/>
  <c r="AB82" i="11"/>
  <c r="Z82" i="11"/>
  <c r="E83" i="19" s="1"/>
  <c r="X82" i="11"/>
  <c r="F83" i="19" s="1"/>
  <c r="AB81" i="11"/>
  <c r="Z81" i="11"/>
  <c r="E82" i="19" s="1"/>
  <c r="X81" i="11"/>
  <c r="F82" i="19" s="1"/>
  <c r="AB80" i="11"/>
  <c r="Z80" i="11"/>
  <c r="E81" i="19" s="1"/>
  <c r="X80" i="11"/>
  <c r="F81" i="19" s="1"/>
  <c r="AB79" i="11"/>
  <c r="Z79" i="11"/>
  <c r="E80" i="19" s="1"/>
  <c r="X79" i="11"/>
  <c r="F80" i="19" s="1"/>
  <c r="AB78" i="11"/>
  <c r="Z78" i="11"/>
  <c r="E79" i="19" s="1"/>
  <c r="X78" i="11"/>
  <c r="F79" i="19" s="1"/>
  <c r="AB77" i="11"/>
  <c r="Z77" i="11"/>
  <c r="E78" i="19" s="1"/>
  <c r="X77" i="11"/>
  <c r="F78" i="19" s="1"/>
  <c r="AB76" i="11"/>
  <c r="Z76" i="11"/>
  <c r="E77" i="19" s="1"/>
  <c r="X76" i="11"/>
  <c r="F77" i="19" s="1"/>
  <c r="AB75" i="11"/>
  <c r="Z75" i="11"/>
  <c r="E76" i="19" s="1"/>
  <c r="X75" i="11"/>
  <c r="F76" i="19" s="1"/>
  <c r="AB74" i="11"/>
  <c r="Z74" i="11"/>
  <c r="E75" i="19" s="1"/>
  <c r="X74" i="11"/>
  <c r="F75" i="19" s="1"/>
  <c r="AB73" i="11"/>
  <c r="Z73" i="11"/>
  <c r="E74" i="19" s="1"/>
  <c r="X73" i="11"/>
  <c r="F74" i="19" s="1"/>
  <c r="AB72" i="11"/>
  <c r="Z72" i="11"/>
  <c r="E73" i="19" s="1"/>
  <c r="X72" i="11"/>
  <c r="F73" i="19" s="1"/>
  <c r="AB71" i="11"/>
  <c r="Z71" i="11"/>
  <c r="E72" i="19" s="1"/>
  <c r="X71" i="11"/>
  <c r="F72" i="19" s="1"/>
  <c r="AB70" i="11"/>
  <c r="Z70" i="11"/>
  <c r="E71" i="19" s="1"/>
  <c r="X70" i="11"/>
  <c r="F71" i="19" s="1"/>
  <c r="AB69" i="11"/>
  <c r="Z69" i="11"/>
  <c r="E70" i="19" s="1"/>
  <c r="X69" i="11"/>
  <c r="F70" i="19" s="1"/>
  <c r="AB68" i="11"/>
  <c r="Z68" i="11"/>
  <c r="E69" i="19" s="1"/>
  <c r="X68" i="11"/>
  <c r="F69" i="19" s="1"/>
  <c r="AB67" i="11"/>
  <c r="Z67" i="11"/>
  <c r="E68" i="19" s="1"/>
  <c r="X67" i="11"/>
  <c r="F68" i="19" s="1"/>
  <c r="AB66" i="11"/>
  <c r="Z66" i="11"/>
  <c r="E67" i="19" s="1"/>
  <c r="X66" i="11"/>
  <c r="F67" i="19" s="1"/>
  <c r="AB65" i="11"/>
  <c r="Z65" i="11"/>
  <c r="E66" i="19" s="1"/>
  <c r="X65" i="11"/>
  <c r="F66" i="19" s="1"/>
  <c r="AB64" i="11"/>
  <c r="Z64" i="11"/>
  <c r="E65" i="19" s="1"/>
  <c r="X64" i="11"/>
  <c r="F65" i="19" s="1"/>
  <c r="AB63" i="11"/>
  <c r="Z63" i="11"/>
  <c r="E64" i="19" s="1"/>
  <c r="X63" i="11"/>
  <c r="F64" i="19" s="1"/>
  <c r="AB62" i="11"/>
  <c r="Z62" i="11"/>
  <c r="E63" i="19" s="1"/>
  <c r="X62" i="11"/>
  <c r="F63" i="19" s="1"/>
  <c r="AB61" i="11"/>
  <c r="Z61" i="11"/>
  <c r="E62" i="19" s="1"/>
  <c r="X61" i="11"/>
  <c r="F62" i="19" s="1"/>
  <c r="AB60" i="11"/>
  <c r="Z60" i="11"/>
  <c r="E61" i="19" s="1"/>
  <c r="X60" i="11"/>
  <c r="F61" i="19" s="1"/>
  <c r="AB59" i="11"/>
  <c r="Z59" i="11"/>
  <c r="E60" i="19" s="1"/>
  <c r="X59" i="11"/>
  <c r="F60" i="19" s="1"/>
  <c r="AB58" i="11"/>
  <c r="Z58" i="11"/>
  <c r="E59" i="19" s="1"/>
  <c r="X58" i="11"/>
  <c r="F59" i="19" s="1"/>
  <c r="AB57" i="11"/>
  <c r="Z57" i="11"/>
  <c r="E58" i="19" s="1"/>
  <c r="X57" i="11"/>
  <c r="F58" i="19" s="1"/>
  <c r="AB56" i="11"/>
  <c r="Z56" i="11"/>
  <c r="E57" i="19" s="1"/>
  <c r="X56" i="11"/>
  <c r="F57" i="19" s="1"/>
  <c r="AB55" i="11"/>
  <c r="Z55" i="11"/>
  <c r="E56" i="19" s="1"/>
  <c r="X55" i="11"/>
  <c r="F56" i="19" s="1"/>
  <c r="AB54" i="11"/>
  <c r="AB53" i="11"/>
  <c r="AB52" i="11"/>
  <c r="AB51" i="11"/>
  <c r="AB50" i="11"/>
  <c r="AB49" i="11"/>
  <c r="AB48" i="11"/>
  <c r="AB47" i="11"/>
  <c r="AB46" i="11"/>
  <c r="AB45" i="11"/>
  <c r="AB44" i="11"/>
  <c r="AB43" i="11"/>
  <c r="AB42" i="11"/>
  <c r="AB41" i="11"/>
  <c r="AB40" i="11"/>
  <c r="AB39" i="11"/>
  <c r="AB38" i="11"/>
  <c r="AB37" i="11"/>
  <c r="AB36" i="11"/>
  <c r="AB35" i="11"/>
  <c r="AB34" i="11"/>
  <c r="AB33" i="11"/>
  <c r="AB32" i="11"/>
  <c r="AB31" i="11"/>
  <c r="AB30" i="11"/>
  <c r="AB29" i="11"/>
  <c r="AB28" i="11"/>
  <c r="AB27" i="11"/>
  <c r="AB26" i="11"/>
  <c r="AB25" i="11"/>
  <c r="AB24" i="11"/>
  <c r="AB23" i="11"/>
  <c r="AB22" i="11"/>
  <c r="AB21" i="11"/>
  <c r="AB20" i="11"/>
  <c r="AB19" i="11"/>
  <c r="AB18" i="11"/>
  <c r="AB17" i="11"/>
  <c r="AB16" i="11"/>
  <c r="AB15" i="11"/>
  <c r="AB14" i="11"/>
  <c r="AB13" i="11"/>
  <c r="AB12" i="11"/>
  <c r="AB11" i="11"/>
  <c r="AB10" i="11"/>
  <c r="AB9" i="11"/>
  <c r="AB8" i="11"/>
  <c r="AB7" i="11"/>
  <c r="AB6" i="11"/>
  <c r="AB5" i="11"/>
  <c r="O70" i="11"/>
  <c r="U70" i="11" s="1"/>
  <c r="O75" i="11" l="1"/>
  <c r="U75" i="11" s="1"/>
  <c r="O78" i="11"/>
  <c r="U78" i="11" s="1"/>
  <c r="T77" i="11"/>
  <c r="O8" i="11"/>
  <c r="U8" i="11" s="1"/>
  <c r="O74" i="11"/>
  <c r="U74" i="11" s="1"/>
  <c r="O82" i="11"/>
  <c r="U82" i="11" s="1"/>
  <c r="O10" i="11"/>
  <c r="U10" i="11" s="1"/>
  <c r="O14" i="11"/>
  <c r="U14" i="11" s="1"/>
  <c r="O18" i="11"/>
  <c r="U18" i="11" s="1"/>
  <c r="O22" i="11"/>
  <c r="U22" i="11" s="1"/>
  <c r="O26" i="11"/>
  <c r="U26" i="11" s="1"/>
  <c r="O30" i="11"/>
  <c r="U30" i="11" s="1"/>
  <c r="O34" i="11"/>
  <c r="U34" i="11" s="1"/>
  <c r="O38" i="11"/>
  <c r="U38" i="11" s="1"/>
  <c r="O42" i="11"/>
  <c r="U42" i="11" s="1"/>
  <c r="O46" i="11"/>
  <c r="U46" i="11" s="1"/>
  <c r="O50" i="11"/>
  <c r="U50" i="11" s="1"/>
  <c r="O54" i="11"/>
  <c r="U54" i="11" s="1"/>
  <c r="O58" i="11"/>
  <c r="U58" i="11" s="1"/>
  <c r="O62" i="11"/>
  <c r="U62" i="11" s="1"/>
  <c r="O66" i="11"/>
  <c r="U66" i="11" s="1"/>
  <c r="O71" i="11"/>
  <c r="U71" i="11" s="1"/>
  <c r="O15" i="11"/>
  <c r="U15" i="11" s="1"/>
  <c r="O23" i="11"/>
  <c r="U23" i="11" s="1"/>
  <c r="O47" i="11"/>
  <c r="U47" i="11" s="1"/>
  <c r="O51" i="11"/>
  <c r="U51" i="11" s="1"/>
  <c r="O55" i="11"/>
  <c r="U55" i="11" s="1"/>
  <c r="O59" i="11"/>
  <c r="U59" i="11" s="1"/>
  <c r="O63" i="11"/>
  <c r="U63" i="11" s="1"/>
  <c r="O67" i="11"/>
  <c r="U67" i="11" s="1"/>
  <c r="O86" i="11"/>
  <c r="U86" i="11" s="1"/>
  <c r="O27" i="11"/>
  <c r="U27" i="11" s="1"/>
  <c r="O43" i="11"/>
  <c r="U43" i="11" s="1"/>
  <c r="O88" i="11"/>
  <c r="O84" i="11"/>
  <c r="U84" i="11" s="1"/>
  <c r="O80" i="11"/>
  <c r="U80" i="11" s="1"/>
  <c r="O76" i="11"/>
  <c r="U76" i="11" s="1"/>
  <c r="O72" i="11"/>
  <c r="U72" i="11" s="1"/>
  <c r="O68" i="11"/>
  <c r="U68" i="11" s="1"/>
  <c r="O64" i="11"/>
  <c r="U64" i="11" s="1"/>
  <c r="O60" i="11"/>
  <c r="U60" i="11" s="1"/>
  <c r="O56" i="11"/>
  <c r="U56" i="11" s="1"/>
  <c r="O52" i="11"/>
  <c r="U52" i="11" s="1"/>
  <c r="O48" i="11"/>
  <c r="U48" i="11" s="1"/>
  <c r="O44" i="11"/>
  <c r="U44" i="11" s="1"/>
  <c r="O40" i="11"/>
  <c r="U40" i="11" s="1"/>
  <c r="O36" i="11"/>
  <c r="U36" i="11" s="1"/>
  <c r="O32" i="11"/>
  <c r="U32" i="11" s="1"/>
  <c r="O28" i="11"/>
  <c r="U28" i="11" s="1"/>
  <c r="O24" i="11"/>
  <c r="U24" i="11" s="1"/>
  <c r="O20" i="11"/>
  <c r="U20" i="11" s="1"/>
  <c r="O16" i="11"/>
  <c r="U16" i="11" s="1"/>
  <c r="O12" i="11"/>
  <c r="U12" i="11" s="1"/>
  <c r="O87" i="11"/>
  <c r="U87" i="11" s="1"/>
  <c r="O83" i="11"/>
  <c r="U83" i="11" s="1"/>
  <c r="O79" i="11"/>
  <c r="U79" i="11" s="1"/>
  <c r="O85" i="11"/>
  <c r="U85" i="11" s="1"/>
  <c r="O81" i="11"/>
  <c r="U81" i="11" s="1"/>
  <c r="O77" i="11"/>
  <c r="U77" i="11" s="1"/>
  <c r="O73" i="11"/>
  <c r="U73" i="11" s="1"/>
  <c r="O69" i="11"/>
  <c r="U69" i="11" s="1"/>
  <c r="O65" i="11"/>
  <c r="U65" i="11" s="1"/>
  <c r="O61" i="11"/>
  <c r="U61" i="11" s="1"/>
  <c r="O57" i="11"/>
  <c r="U57" i="11" s="1"/>
  <c r="O53" i="11"/>
  <c r="U53" i="11" s="1"/>
  <c r="O49" i="11"/>
  <c r="U49" i="11" s="1"/>
  <c r="O45" i="11"/>
  <c r="U45" i="11" s="1"/>
  <c r="O41" i="11"/>
  <c r="U41" i="11" s="1"/>
  <c r="O37" i="11"/>
  <c r="U37" i="11" s="1"/>
  <c r="O33" i="11"/>
  <c r="U33" i="11" s="1"/>
  <c r="O29" i="11"/>
  <c r="U29" i="11" s="1"/>
  <c r="O25" i="11"/>
  <c r="U25" i="11" s="1"/>
  <c r="O21" i="11"/>
  <c r="U21" i="11" s="1"/>
  <c r="O17" i="11"/>
  <c r="U17" i="11" s="1"/>
  <c r="O13" i="11"/>
  <c r="U13" i="11" s="1"/>
  <c r="O9" i="11"/>
  <c r="U9" i="11" s="1"/>
  <c r="O5" i="11"/>
  <c r="U5" i="11" s="1"/>
  <c r="O7" i="11"/>
  <c r="U7" i="11" s="1"/>
  <c r="O11" i="11"/>
  <c r="U11" i="11" s="1"/>
  <c r="O19" i="11"/>
  <c r="U19" i="11" s="1"/>
  <c r="O31" i="11"/>
  <c r="U31" i="11" s="1"/>
  <c r="O35" i="11"/>
  <c r="U35" i="11" s="1"/>
  <c r="O39" i="11"/>
  <c r="U39" i="11" s="1"/>
  <c r="O6" i="11"/>
  <c r="U6" i="11" s="1"/>
  <c r="X8" i="11" l="1"/>
  <c r="F9" i="19" s="1"/>
  <c r="X11" i="11"/>
  <c r="F12" i="19" s="1"/>
  <c r="T10" i="11"/>
  <c r="V10" i="11" s="1"/>
  <c r="D11" i="19" s="1"/>
  <c r="U88" i="11"/>
  <c r="X51" i="11"/>
  <c r="F52" i="19" s="1"/>
  <c r="P75" i="11"/>
  <c r="C76" i="19" s="1"/>
  <c r="J76" i="19" s="1"/>
  <c r="X6" i="11"/>
  <c r="F7" i="19" s="1"/>
  <c r="L5" i="11"/>
  <c r="V5" i="11" s="1"/>
  <c r="D6" i="19" s="1"/>
  <c r="X9" i="11"/>
  <c r="F10" i="19" s="1"/>
  <c r="Z10" i="11"/>
  <c r="E11" i="19" s="1"/>
  <c r="P59" i="11"/>
  <c r="C60" i="19" s="1"/>
  <c r="J60" i="19" s="1"/>
  <c r="P79" i="11"/>
  <c r="C80" i="19" s="1"/>
  <c r="J80" i="19" s="1"/>
  <c r="T45" i="11"/>
  <c r="V45" i="11" s="1"/>
  <c r="D46" i="19" s="1"/>
  <c r="P87" i="11"/>
  <c r="C88" i="19" s="1"/>
  <c r="T62" i="11"/>
  <c r="V62" i="11" s="1"/>
  <c r="D63" i="19" s="1"/>
  <c r="P85" i="11"/>
  <c r="C86" i="19" s="1"/>
  <c r="J86" i="19" s="1"/>
  <c r="T85" i="11"/>
  <c r="V85" i="11" s="1"/>
  <c r="D86" i="19" s="1"/>
  <c r="X27" i="11"/>
  <c r="F28" i="19" s="1"/>
  <c r="P81" i="11"/>
  <c r="C82" i="19" s="1"/>
  <c r="J82" i="19" s="1"/>
  <c r="T81" i="11"/>
  <c r="V81" i="11" s="1"/>
  <c r="D82" i="19" s="1"/>
  <c r="X26" i="11"/>
  <c r="F27" i="19" s="1"/>
  <c r="X35" i="11"/>
  <c r="F36" i="19" s="1"/>
  <c r="X15" i="11"/>
  <c r="F16" i="19" s="1"/>
  <c r="T75" i="11"/>
  <c r="V75" i="11" s="1"/>
  <c r="D76" i="19" s="1"/>
  <c r="X23" i="11"/>
  <c r="F24" i="19" s="1"/>
  <c r="P69" i="11"/>
  <c r="C70" i="19" s="1"/>
  <c r="J70" i="19" s="1"/>
  <c r="T69" i="11"/>
  <c r="V69" i="11" s="1"/>
  <c r="D70" i="19" s="1"/>
  <c r="X42" i="11"/>
  <c r="F43" i="19" s="1"/>
  <c r="X31" i="11"/>
  <c r="F32" i="19" s="1"/>
  <c r="P72" i="11"/>
  <c r="C73" i="19" s="1"/>
  <c r="J73" i="19" s="1"/>
  <c r="T72" i="11"/>
  <c r="V72" i="11" s="1"/>
  <c r="D73" i="19" s="1"/>
  <c r="X7" i="11"/>
  <c r="F8" i="19" s="1"/>
  <c r="V77" i="11"/>
  <c r="D78" i="19" s="1"/>
  <c r="X39" i="11"/>
  <c r="F40" i="19" s="1"/>
  <c r="X19" i="11"/>
  <c r="F20" i="19" s="1"/>
  <c r="X47" i="11"/>
  <c r="F48" i="19" s="1"/>
  <c r="X54" i="11"/>
  <c r="F55" i="19" s="1"/>
  <c r="X53" i="11"/>
  <c r="F54" i="19" s="1"/>
  <c r="X44" i="11"/>
  <c r="F45" i="19" s="1"/>
  <c r="X24" i="11"/>
  <c r="F25" i="19" s="1"/>
  <c r="X13" i="11"/>
  <c r="F14" i="19" s="1"/>
  <c r="X18" i="11"/>
  <c r="F19" i="19" s="1"/>
  <c r="X50" i="11"/>
  <c r="F51" i="19" s="1"/>
  <c r="X22" i="11"/>
  <c r="F23" i="19" s="1"/>
  <c r="X52" i="11"/>
  <c r="F53" i="19" s="1"/>
  <c r="X33" i="11"/>
  <c r="F34" i="19" s="1"/>
  <c r="X12" i="11"/>
  <c r="F13" i="19" s="1"/>
  <c r="D88" i="19"/>
  <c r="X41" i="11"/>
  <c r="F42" i="19" s="1"/>
  <c r="X32" i="11"/>
  <c r="F33" i="19" s="1"/>
  <c r="X21" i="11"/>
  <c r="F22" i="19" s="1"/>
  <c r="X38" i="11"/>
  <c r="F39" i="19" s="1"/>
  <c r="X14" i="11"/>
  <c r="F15" i="19" s="1"/>
  <c r="X49" i="11"/>
  <c r="F50" i="19" s="1"/>
  <c r="X40" i="11"/>
  <c r="F41" i="19" s="1"/>
  <c r="X20" i="11"/>
  <c r="F21" i="19" s="1"/>
  <c r="X46" i="11"/>
  <c r="F47" i="19" s="1"/>
  <c r="X25" i="11"/>
  <c r="F26" i="19" s="1"/>
  <c r="P77" i="11"/>
  <c r="C78" i="19" s="1"/>
  <c r="J78" i="19" s="1"/>
  <c r="X48" i="11"/>
  <c r="F49" i="19" s="1"/>
  <c r="X29" i="11"/>
  <c r="F30" i="19" s="1"/>
  <c r="X43" i="11"/>
  <c r="F44" i="19" s="1"/>
  <c r="X30" i="11"/>
  <c r="F31" i="19" s="1"/>
  <c r="X37" i="11"/>
  <c r="F38" i="19" s="1"/>
  <c r="X28" i="11"/>
  <c r="F29" i="19" s="1"/>
  <c r="X17" i="11"/>
  <c r="F18" i="19" s="1"/>
  <c r="X36" i="11"/>
  <c r="F37" i="19" s="1"/>
  <c r="X16" i="11"/>
  <c r="F17" i="19" s="1"/>
  <c r="X34" i="11"/>
  <c r="F35" i="19" s="1"/>
  <c r="T8" i="11" l="1"/>
  <c r="V8" i="11" s="1"/>
  <c r="D9" i="19" s="1"/>
  <c r="P8" i="11"/>
  <c r="C9" i="19" s="1"/>
  <c r="K9" i="19" s="1"/>
  <c r="Z8" i="11"/>
  <c r="E9" i="19" s="1"/>
  <c r="Z6" i="11"/>
  <c r="E7" i="19" s="1"/>
  <c r="T9" i="11"/>
  <c r="V9" i="11" s="1"/>
  <c r="D10" i="19" s="1"/>
  <c r="P9" i="11"/>
  <c r="C10" i="19" s="1"/>
  <c r="X10" i="11"/>
  <c r="F11" i="19" s="1"/>
  <c r="P62" i="11"/>
  <c r="C63" i="19" s="1"/>
  <c r="J63" i="19" s="1"/>
  <c r="Z9" i="11"/>
  <c r="E10" i="19" s="1"/>
  <c r="P10" i="11"/>
  <c r="C11" i="19" s="1"/>
  <c r="T51" i="11"/>
  <c r="V51" i="11" s="1"/>
  <c r="D52" i="19" s="1"/>
  <c r="Z51" i="11"/>
  <c r="E52" i="19" s="1"/>
  <c r="T6" i="11"/>
  <c r="V6" i="11" s="1"/>
  <c r="D7" i="19" s="1"/>
  <c r="Z5" i="11"/>
  <c r="E6" i="19" s="1"/>
  <c r="P42" i="11"/>
  <c r="C43" i="19" s="1"/>
  <c r="P6" i="11"/>
  <c r="C7" i="19" s="1"/>
  <c r="P51" i="11"/>
  <c r="C52" i="19" s="1"/>
  <c r="P5" i="11"/>
  <c r="X5" i="11"/>
  <c r="F6" i="19" s="1"/>
  <c r="T79" i="11"/>
  <c r="V79" i="11" s="1"/>
  <c r="D80" i="19" s="1"/>
  <c r="P45" i="11"/>
  <c r="X45" i="11"/>
  <c r="F46" i="19" s="1"/>
  <c r="T59" i="11"/>
  <c r="V59" i="11" s="1"/>
  <c r="D60" i="19" s="1"/>
  <c r="T87" i="11"/>
  <c r="Z45" i="11"/>
  <c r="E46" i="19" s="1"/>
  <c r="P17" i="11"/>
  <c r="C18" i="19" s="1"/>
  <c r="Z17" i="11"/>
  <c r="E18" i="19" s="1"/>
  <c r="T17" i="11"/>
  <c r="V17" i="11" s="1"/>
  <c r="D18" i="19" s="1"/>
  <c r="P21" i="11"/>
  <c r="C22" i="19" s="1"/>
  <c r="T21" i="11"/>
  <c r="V21" i="11" s="1"/>
  <c r="D22" i="19" s="1"/>
  <c r="Z21" i="11"/>
  <c r="E22" i="19" s="1"/>
  <c r="P13" i="11"/>
  <c r="C14" i="19" s="1"/>
  <c r="T13" i="11"/>
  <c r="V13" i="11" s="1"/>
  <c r="D14" i="19" s="1"/>
  <c r="Z13" i="11"/>
  <c r="E14" i="19" s="1"/>
  <c r="P83" i="11"/>
  <c r="C84" i="19" s="1"/>
  <c r="J84" i="19" s="1"/>
  <c r="T83" i="11"/>
  <c r="V83" i="11" s="1"/>
  <c r="D84" i="19" s="1"/>
  <c r="P7" i="11"/>
  <c r="C8" i="19" s="1"/>
  <c r="T7" i="11"/>
  <c r="V7" i="11" s="1"/>
  <c r="D8" i="19" s="1"/>
  <c r="Z7" i="11"/>
  <c r="E8" i="19" s="1"/>
  <c r="P16" i="11"/>
  <c r="C17" i="19" s="1"/>
  <c r="T16" i="11"/>
  <c r="V16" i="11" s="1"/>
  <c r="D17" i="19" s="1"/>
  <c r="Z16" i="11"/>
  <c r="E17" i="19" s="1"/>
  <c r="P28" i="11"/>
  <c r="C29" i="19" s="1"/>
  <c r="T28" i="11"/>
  <c r="V28" i="11" s="1"/>
  <c r="D29" i="19" s="1"/>
  <c r="Z28" i="11"/>
  <c r="E29" i="19" s="1"/>
  <c r="P43" i="11"/>
  <c r="C44" i="19" s="1"/>
  <c r="Z43" i="11"/>
  <c r="E44" i="19" s="1"/>
  <c r="T43" i="11"/>
  <c r="V43" i="11" s="1"/>
  <c r="D44" i="19" s="1"/>
  <c r="P20" i="11"/>
  <c r="C21" i="19" s="1"/>
  <c r="T20" i="11"/>
  <c r="V20" i="11" s="1"/>
  <c r="D21" i="19" s="1"/>
  <c r="Z20" i="11"/>
  <c r="E21" i="19" s="1"/>
  <c r="P32" i="11"/>
  <c r="C33" i="19" s="1"/>
  <c r="T32" i="11"/>
  <c r="V32" i="11" s="1"/>
  <c r="D33" i="19" s="1"/>
  <c r="Z32" i="11"/>
  <c r="E33" i="19" s="1"/>
  <c r="P33" i="11"/>
  <c r="C34" i="19" s="1"/>
  <c r="K34" i="19" s="1"/>
  <c r="Z33" i="11"/>
  <c r="E34" i="19" s="1"/>
  <c r="T33" i="11"/>
  <c r="V33" i="11" s="1"/>
  <c r="D34" i="19" s="1"/>
  <c r="P24" i="11"/>
  <c r="C25" i="19" s="1"/>
  <c r="T24" i="11"/>
  <c r="V24" i="11" s="1"/>
  <c r="D25" i="19" s="1"/>
  <c r="Z24" i="11"/>
  <c r="E25" i="19" s="1"/>
  <c r="P31" i="11"/>
  <c r="C32" i="19" s="1"/>
  <c r="T31" i="11"/>
  <c r="V31" i="11" s="1"/>
  <c r="D32" i="19" s="1"/>
  <c r="Z31" i="11"/>
  <c r="E32" i="19" s="1"/>
  <c r="P23" i="11"/>
  <c r="C24" i="19" s="1"/>
  <c r="T23" i="11"/>
  <c r="V23" i="11" s="1"/>
  <c r="D24" i="19" s="1"/>
  <c r="Z23" i="11"/>
  <c r="E24" i="19" s="1"/>
  <c r="P27" i="11"/>
  <c r="C28" i="19" s="1"/>
  <c r="Z27" i="11"/>
  <c r="E28" i="19" s="1"/>
  <c r="T27" i="11"/>
  <c r="V27" i="11" s="1"/>
  <c r="D28" i="19" s="1"/>
  <c r="P71" i="11"/>
  <c r="C72" i="19" s="1"/>
  <c r="J72" i="19" s="1"/>
  <c r="T71" i="11"/>
  <c r="V71" i="11" s="1"/>
  <c r="D72" i="19" s="1"/>
  <c r="P56" i="11"/>
  <c r="C57" i="19" s="1"/>
  <c r="J57" i="19" s="1"/>
  <c r="T56" i="11"/>
  <c r="V56" i="11" s="1"/>
  <c r="D57" i="19" s="1"/>
  <c r="P74" i="11"/>
  <c r="C75" i="19" s="1"/>
  <c r="J75" i="19" s="1"/>
  <c r="T74" i="11"/>
  <c r="V74" i="11" s="1"/>
  <c r="D75" i="19" s="1"/>
  <c r="P48" i="11"/>
  <c r="C49" i="19" s="1"/>
  <c r="T48" i="11"/>
  <c r="V48" i="11" s="1"/>
  <c r="D49" i="19" s="1"/>
  <c r="Z48" i="11"/>
  <c r="E49" i="19" s="1"/>
  <c r="P49" i="11"/>
  <c r="C50" i="19" s="1"/>
  <c r="Z49" i="11"/>
  <c r="E50" i="19" s="1"/>
  <c r="T49" i="11"/>
  <c r="V49" i="11" s="1"/>
  <c r="D50" i="19" s="1"/>
  <c r="P61" i="11"/>
  <c r="C62" i="19" s="1"/>
  <c r="J62" i="19" s="1"/>
  <c r="T61" i="11"/>
  <c r="V61" i="11" s="1"/>
  <c r="D62" i="19" s="1"/>
  <c r="P64" i="11"/>
  <c r="C65" i="19" s="1"/>
  <c r="J65" i="19" s="1"/>
  <c r="T64" i="11"/>
  <c r="V64" i="11" s="1"/>
  <c r="D65" i="19" s="1"/>
  <c r="P53" i="11"/>
  <c r="C54" i="19" s="1"/>
  <c r="T53" i="11"/>
  <c r="V53" i="11" s="1"/>
  <c r="D54" i="19" s="1"/>
  <c r="Z53" i="11"/>
  <c r="E54" i="19" s="1"/>
  <c r="P11" i="11"/>
  <c r="C12" i="19" s="1"/>
  <c r="Z11" i="11"/>
  <c r="E12" i="19" s="1"/>
  <c r="T11" i="11"/>
  <c r="V11" i="11" s="1"/>
  <c r="D12" i="19" s="1"/>
  <c r="AC75" i="11"/>
  <c r="G76" i="19" s="1"/>
  <c r="P26" i="11"/>
  <c r="C27" i="19" s="1"/>
  <c r="T26" i="11"/>
  <c r="V26" i="11" s="1"/>
  <c r="D27" i="19" s="1"/>
  <c r="Z26" i="11"/>
  <c r="E27" i="19" s="1"/>
  <c r="AC85" i="11"/>
  <c r="G86" i="19" s="1"/>
  <c r="P82" i="11"/>
  <c r="C83" i="19" s="1"/>
  <c r="J83" i="19" s="1"/>
  <c r="T82" i="11"/>
  <c r="V82" i="11" s="1"/>
  <c r="D83" i="19" s="1"/>
  <c r="P68" i="11"/>
  <c r="C69" i="19" s="1"/>
  <c r="J69" i="19" s="1"/>
  <c r="T68" i="11"/>
  <c r="V68" i="11" s="1"/>
  <c r="D69" i="19" s="1"/>
  <c r="P63" i="11"/>
  <c r="C64" i="19" s="1"/>
  <c r="J64" i="19" s="1"/>
  <c r="T63" i="11"/>
  <c r="V63" i="11" s="1"/>
  <c r="D64" i="19" s="1"/>
  <c r="AC77" i="11"/>
  <c r="G78" i="19" s="1"/>
  <c r="P60" i="11"/>
  <c r="C61" i="19" s="1"/>
  <c r="J61" i="19" s="1"/>
  <c r="T60" i="11"/>
  <c r="V60" i="11" s="1"/>
  <c r="D61" i="19" s="1"/>
  <c r="P22" i="11"/>
  <c r="C23" i="19" s="1"/>
  <c r="Z22" i="11"/>
  <c r="E23" i="19" s="1"/>
  <c r="T22" i="11"/>
  <c r="V22" i="11" s="1"/>
  <c r="D23" i="19" s="1"/>
  <c r="P65" i="11"/>
  <c r="C66" i="19" s="1"/>
  <c r="J66" i="19" s="1"/>
  <c r="T65" i="11"/>
  <c r="V65" i="11" s="1"/>
  <c r="D66" i="19" s="1"/>
  <c r="T42" i="11"/>
  <c r="V42" i="11" s="1"/>
  <c r="D43" i="19" s="1"/>
  <c r="Z42" i="11"/>
  <c r="E43" i="19" s="1"/>
  <c r="AC79" i="11"/>
  <c r="G80" i="19" s="1"/>
  <c r="AC9" i="11"/>
  <c r="G10" i="19" s="1"/>
  <c r="P40" i="11"/>
  <c r="C41" i="19" s="1"/>
  <c r="T40" i="11"/>
  <c r="V40" i="11" s="1"/>
  <c r="D41" i="19" s="1"/>
  <c r="Z40" i="11"/>
  <c r="E41" i="19" s="1"/>
  <c r="P84" i="11"/>
  <c r="C85" i="19" s="1"/>
  <c r="J85" i="19" s="1"/>
  <c r="T84" i="11"/>
  <c r="V84" i="11" s="1"/>
  <c r="D85" i="19" s="1"/>
  <c r="P67" i="11"/>
  <c r="C68" i="19" s="1"/>
  <c r="J68" i="19" s="1"/>
  <c r="T67" i="11"/>
  <c r="V67" i="11" s="1"/>
  <c r="D68" i="19" s="1"/>
  <c r="P14" i="11"/>
  <c r="C15" i="19" s="1"/>
  <c r="K15" i="19" s="1"/>
  <c r="T14" i="11"/>
  <c r="V14" i="11" s="1"/>
  <c r="D15" i="19" s="1"/>
  <c r="Z14" i="11"/>
  <c r="E15" i="19" s="1"/>
  <c r="P88" i="11"/>
  <c r="C89" i="19" s="1"/>
  <c r="T88" i="11"/>
  <c r="V88" i="11" s="1"/>
  <c r="D89" i="19" s="1"/>
  <c r="P50" i="11"/>
  <c r="C51" i="19" s="1"/>
  <c r="T50" i="11"/>
  <c r="V50" i="11" s="1"/>
  <c r="D51" i="19" s="1"/>
  <c r="Z50" i="11"/>
  <c r="E51" i="19" s="1"/>
  <c r="P54" i="11"/>
  <c r="C55" i="19" s="1"/>
  <c r="Z54" i="11"/>
  <c r="E55" i="19" s="1"/>
  <c r="T54" i="11"/>
  <c r="V54" i="11" s="1"/>
  <c r="D55" i="19" s="1"/>
  <c r="P19" i="11"/>
  <c r="C20" i="19" s="1"/>
  <c r="K20" i="19" s="1"/>
  <c r="Z19" i="11"/>
  <c r="E20" i="19" s="1"/>
  <c r="T19" i="11"/>
  <c r="V19" i="11" s="1"/>
  <c r="D20" i="19" s="1"/>
  <c r="AC87" i="11"/>
  <c r="G88" i="19" s="1"/>
  <c r="AC59" i="11"/>
  <c r="G60" i="19" s="1"/>
  <c r="P12" i="11"/>
  <c r="C13" i="19" s="1"/>
  <c r="T12" i="11"/>
  <c r="V12" i="11" s="1"/>
  <c r="D13" i="19" s="1"/>
  <c r="Z12" i="11"/>
  <c r="E13" i="19" s="1"/>
  <c r="P36" i="11"/>
  <c r="C37" i="19" s="1"/>
  <c r="T36" i="11"/>
  <c r="V36" i="11" s="1"/>
  <c r="D37" i="19" s="1"/>
  <c r="Z36" i="11"/>
  <c r="E37" i="19" s="1"/>
  <c r="P37" i="11"/>
  <c r="C38" i="19" s="1"/>
  <c r="T37" i="11"/>
  <c r="V37" i="11" s="1"/>
  <c r="D38" i="19" s="1"/>
  <c r="Z37" i="11"/>
  <c r="E38" i="19" s="1"/>
  <c r="P41" i="11"/>
  <c r="C42" i="19" s="1"/>
  <c r="T41" i="11"/>
  <c r="V41" i="11" s="1"/>
  <c r="D42" i="19" s="1"/>
  <c r="Z41" i="11"/>
  <c r="E42" i="19" s="1"/>
  <c r="P52" i="11"/>
  <c r="C53" i="19" s="1"/>
  <c r="T52" i="11"/>
  <c r="V52" i="11" s="1"/>
  <c r="D53" i="19" s="1"/>
  <c r="Z52" i="11"/>
  <c r="E53" i="19" s="1"/>
  <c r="P44" i="11"/>
  <c r="C45" i="19" s="1"/>
  <c r="T44" i="11"/>
  <c r="V44" i="11" s="1"/>
  <c r="D45" i="19" s="1"/>
  <c r="Z44" i="11"/>
  <c r="E45" i="19" s="1"/>
  <c r="AC8" i="11"/>
  <c r="G9" i="19" s="1"/>
  <c r="P57" i="11"/>
  <c r="C58" i="19" s="1"/>
  <c r="J58" i="19" s="1"/>
  <c r="T57" i="11"/>
  <c r="V57" i="11" s="1"/>
  <c r="D58" i="19" s="1"/>
  <c r="P73" i="11"/>
  <c r="C74" i="19" s="1"/>
  <c r="J74" i="19" s="1"/>
  <c r="T73" i="11"/>
  <c r="V73" i="11" s="1"/>
  <c r="D74" i="19" s="1"/>
  <c r="P30" i="11"/>
  <c r="C31" i="19" s="1"/>
  <c r="T30" i="11"/>
  <c r="V30" i="11" s="1"/>
  <c r="D31" i="19" s="1"/>
  <c r="Z30" i="11"/>
  <c r="E31" i="19" s="1"/>
  <c r="P86" i="11"/>
  <c r="C87" i="19" s="1"/>
  <c r="J87" i="19" s="1"/>
  <c r="T86" i="11"/>
  <c r="V86" i="11" s="1"/>
  <c r="D87" i="19" s="1"/>
  <c r="P38" i="11"/>
  <c r="C39" i="19" s="1"/>
  <c r="T38" i="11"/>
  <c r="V38" i="11" s="1"/>
  <c r="D39" i="19" s="1"/>
  <c r="Z38" i="11"/>
  <c r="E39" i="19" s="1"/>
  <c r="P78" i="11"/>
  <c r="C79" i="19" s="1"/>
  <c r="J79" i="19" s="1"/>
  <c r="T78" i="11"/>
  <c r="V78" i="11" s="1"/>
  <c r="D79" i="19" s="1"/>
  <c r="P18" i="11"/>
  <c r="C19" i="19" s="1"/>
  <c r="T18" i="11"/>
  <c r="V18" i="11" s="1"/>
  <c r="D19" i="19" s="1"/>
  <c r="Z18" i="11"/>
  <c r="E19" i="19" s="1"/>
  <c r="P39" i="11"/>
  <c r="C40" i="19" s="1"/>
  <c r="T39" i="11"/>
  <c r="V39" i="11" s="1"/>
  <c r="D40" i="19" s="1"/>
  <c r="Z39" i="11"/>
  <c r="E40" i="19" s="1"/>
  <c r="AC72" i="11"/>
  <c r="G73" i="19" s="1"/>
  <c r="AC69" i="11"/>
  <c r="G70" i="19" s="1"/>
  <c r="P15" i="11"/>
  <c r="C16" i="19" s="1"/>
  <c r="T15" i="11"/>
  <c r="V15" i="11" s="1"/>
  <c r="D16" i="19" s="1"/>
  <c r="Z15" i="11"/>
  <c r="E16" i="19" s="1"/>
  <c r="P70" i="11"/>
  <c r="C71" i="19" s="1"/>
  <c r="J71" i="19" s="1"/>
  <c r="T70" i="11"/>
  <c r="V70" i="11" s="1"/>
  <c r="D71" i="19" s="1"/>
  <c r="P46" i="11"/>
  <c r="C47" i="19" s="1"/>
  <c r="Z46" i="11"/>
  <c r="E47" i="19" s="1"/>
  <c r="T46" i="11"/>
  <c r="V46" i="11" s="1"/>
  <c r="D47" i="19" s="1"/>
  <c r="P29" i="11"/>
  <c r="C30" i="19" s="1"/>
  <c r="T29" i="11"/>
  <c r="V29" i="11" s="1"/>
  <c r="D30" i="19" s="1"/>
  <c r="Z29" i="11"/>
  <c r="E30" i="19" s="1"/>
  <c r="P34" i="11"/>
  <c r="C35" i="19" s="1"/>
  <c r="T34" i="11"/>
  <c r="V34" i="11" s="1"/>
  <c r="D35" i="19" s="1"/>
  <c r="Z34" i="11"/>
  <c r="E35" i="19" s="1"/>
  <c r="P66" i="11"/>
  <c r="C67" i="19" s="1"/>
  <c r="J67" i="19" s="1"/>
  <c r="T66" i="11"/>
  <c r="V66" i="11" s="1"/>
  <c r="D67" i="19" s="1"/>
  <c r="P76" i="11"/>
  <c r="C77" i="19" s="1"/>
  <c r="J77" i="19" s="1"/>
  <c r="T76" i="11"/>
  <c r="V76" i="11" s="1"/>
  <c r="D77" i="19" s="1"/>
  <c r="P25" i="11"/>
  <c r="C26" i="19" s="1"/>
  <c r="Z25" i="11"/>
  <c r="E26" i="19" s="1"/>
  <c r="T25" i="11"/>
  <c r="V25" i="11" s="1"/>
  <c r="D26" i="19" s="1"/>
  <c r="P80" i="11"/>
  <c r="C81" i="19" s="1"/>
  <c r="J81" i="19" s="1"/>
  <c r="T80" i="11"/>
  <c r="V80" i="11" s="1"/>
  <c r="D81" i="19" s="1"/>
  <c r="P55" i="11"/>
  <c r="C56" i="19" s="1"/>
  <c r="J56" i="19" s="1"/>
  <c r="T55" i="11"/>
  <c r="V55" i="11" s="1"/>
  <c r="D56" i="19" s="1"/>
  <c r="P58" i="11"/>
  <c r="C59" i="19" s="1"/>
  <c r="J59" i="19" s="1"/>
  <c r="T58" i="11"/>
  <c r="V58" i="11" s="1"/>
  <c r="D59" i="19" s="1"/>
  <c r="P47" i="11"/>
  <c r="C48" i="19" s="1"/>
  <c r="T47" i="11"/>
  <c r="V47" i="11" s="1"/>
  <c r="D48" i="19" s="1"/>
  <c r="Z47" i="11"/>
  <c r="E48" i="19" s="1"/>
  <c r="P35" i="11"/>
  <c r="C36" i="19" s="1"/>
  <c r="Z35" i="11"/>
  <c r="E36" i="19" s="1"/>
  <c r="T35" i="11"/>
  <c r="V35" i="11" s="1"/>
  <c r="D36" i="19" s="1"/>
  <c r="AC81" i="11"/>
  <c r="G82" i="19" s="1"/>
  <c r="K10" i="19" l="1"/>
  <c r="K35" i="19"/>
  <c r="K33" i="19"/>
  <c r="K28" i="19"/>
  <c r="K29" i="19"/>
  <c r="K36" i="19"/>
  <c r="AC45" i="11"/>
  <c r="G46" i="19" s="1"/>
  <c r="C46" i="19"/>
  <c r="AC5" i="11"/>
  <c r="G6" i="19" s="1"/>
  <c r="C6" i="19"/>
  <c r="AC10" i="11"/>
  <c r="G11" i="19" s="1"/>
  <c r="AC62" i="11"/>
  <c r="G63" i="19" s="1"/>
  <c r="AC42" i="11"/>
  <c r="G43" i="19" s="1"/>
  <c r="AC6" i="11"/>
  <c r="G7" i="19" s="1"/>
  <c r="AC51" i="11"/>
  <c r="G52" i="19" s="1"/>
  <c r="AC86" i="11"/>
  <c r="G87" i="19" s="1"/>
  <c r="AC44" i="11"/>
  <c r="G45" i="19" s="1"/>
  <c r="AC41" i="11"/>
  <c r="G42" i="19" s="1"/>
  <c r="AC36" i="11"/>
  <c r="G37" i="19" s="1"/>
  <c r="AC54" i="11"/>
  <c r="G55" i="19" s="1"/>
  <c r="AC64" i="11"/>
  <c r="G65" i="19" s="1"/>
  <c r="AC27" i="11"/>
  <c r="G28" i="19" s="1"/>
  <c r="AC23" i="11"/>
  <c r="G24" i="19" s="1"/>
  <c r="AC24" i="11"/>
  <c r="G25" i="19" s="1"/>
  <c r="AC32" i="11"/>
  <c r="G33" i="19" s="1"/>
  <c r="AC43" i="11"/>
  <c r="G44" i="19" s="1"/>
  <c r="AC16" i="11"/>
  <c r="G17" i="19" s="1"/>
  <c r="AC7" i="11"/>
  <c r="G8" i="19" s="1"/>
  <c r="AC25" i="11"/>
  <c r="G26" i="19" s="1"/>
  <c r="AC78" i="11"/>
  <c r="G79" i="19" s="1"/>
  <c r="AC84" i="11"/>
  <c r="G85" i="19" s="1"/>
  <c r="AC65" i="11"/>
  <c r="G66" i="19" s="1"/>
  <c r="AC11" i="11"/>
  <c r="G12" i="19" s="1"/>
  <c r="AC56" i="11"/>
  <c r="G57" i="19" s="1"/>
  <c r="AC14" i="11"/>
  <c r="G15" i="19" s="1"/>
  <c r="AC26" i="11"/>
  <c r="G27" i="19" s="1"/>
  <c r="AC61" i="11"/>
  <c r="G62" i="19" s="1"/>
  <c r="AC48" i="11"/>
  <c r="G49" i="19" s="1"/>
  <c r="AC83" i="11"/>
  <c r="G84" i="19" s="1"/>
  <c r="AC21" i="11"/>
  <c r="G22" i="19" s="1"/>
  <c r="AC35" i="11"/>
  <c r="G36" i="19" s="1"/>
  <c r="AC15" i="11"/>
  <c r="G16" i="19" s="1"/>
  <c r="AC60" i="11"/>
  <c r="G61" i="19" s="1"/>
  <c r="AC68" i="11"/>
  <c r="G69" i="19" s="1"/>
  <c r="AC46" i="11"/>
  <c r="G47" i="19" s="1"/>
  <c r="AC47" i="11"/>
  <c r="G48" i="19" s="1"/>
  <c r="AC30" i="11"/>
  <c r="G31" i="19" s="1"/>
  <c r="AC52" i="11"/>
  <c r="G53" i="19" s="1"/>
  <c r="AC37" i="11"/>
  <c r="G38" i="19" s="1"/>
  <c r="AC12" i="11"/>
  <c r="G13" i="19" s="1"/>
  <c r="AC19" i="11"/>
  <c r="G20" i="19" s="1"/>
  <c r="AC50" i="11"/>
  <c r="G51" i="19" s="1"/>
  <c r="AC71" i="11"/>
  <c r="G72" i="19" s="1"/>
  <c r="AC31" i="11"/>
  <c r="G32" i="19" s="1"/>
  <c r="AC33" i="11"/>
  <c r="G34" i="19" s="1"/>
  <c r="AC20" i="11"/>
  <c r="G21" i="19" s="1"/>
  <c r="AC28" i="11"/>
  <c r="G29" i="19" s="1"/>
  <c r="AC39" i="11"/>
  <c r="G40" i="19" s="1"/>
  <c r="AC57" i="11"/>
  <c r="G58" i="19" s="1"/>
  <c r="AC34" i="11"/>
  <c r="G35" i="19" s="1"/>
  <c r="AC76" i="11"/>
  <c r="G77" i="19" s="1"/>
  <c r="AC80" i="11"/>
  <c r="G81" i="19" s="1"/>
  <c r="AC38" i="11"/>
  <c r="G39" i="19" s="1"/>
  <c r="AC22" i="11"/>
  <c r="G23" i="19" s="1"/>
  <c r="AC82" i="11"/>
  <c r="G83" i="19" s="1"/>
  <c r="AC53" i="11"/>
  <c r="G54" i="19" s="1"/>
  <c r="AC70" i="11"/>
  <c r="G71" i="19" s="1"/>
  <c r="AC67" i="11"/>
  <c r="G68" i="19" s="1"/>
  <c r="AC74" i="11"/>
  <c r="G75" i="19" s="1"/>
  <c r="AC55" i="11"/>
  <c r="G56" i="19" s="1"/>
  <c r="AC18" i="11"/>
  <c r="G19" i="19" s="1"/>
  <c r="AC58" i="11"/>
  <c r="G59" i="19" s="1"/>
  <c r="AC66" i="11"/>
  <c r="G67" i="19" s="1"/>
  <c r="AC29" i="11"/>
  <c r="G30" i="19" s="1"/>
  <c r="AC73" i="11"/>
  <c r="G74" i="19" s="1"/>
  <c r="AC88" i="11"/>
  <c r="G89" i="19" s="1"/>
  <c r="AC40" i="11"/>
  <c r="G41" i="19" s="1"/>
  <c r="AC63" i="11"/>
  <c r="G64" i="19" s="1"/>
  <c r="AC49" i="11"/>
  <c r="G50" i="19" s="1"/>
  <c r="AC13" i="11"/>
  <c r="G14" i="19" s="1"/>
  <c r="AC17" i="11"/>
  <c r="G18" i="19" s="1"/>
  <c r="O80" i="19" l="1"/>
  <c r="N60" i="19"/>
  <c r="O63" i="19"/>
  <c r="O73" i="19"/>
  <c r="O70" i="19"/>
  <c r="M88" i="19" l="1"/>
  <c r="N88" i="19"/>
  <c r="O10" i="19"/>
  <c r="N10" i="19"/>
  <c r="N19" i="19"/>
  <c r="N16" i="19"/>
  <c r="N8" i="19"/>
  <c r="N32" i="19"/>
  <c r="O79" i="19"/>
  <c r="O69" i="19"/>
  <c r="O22" i="19"/>
  <c r="O81" i="19"/>
  <c r="N38" i="19"/>
  <c r="O68" i="19"/>
  <c r="O62" i="19"/>
  <c r="O75" i="19"/>
  <c r="O65" i="19"/>
  <c r="O83" i="19"/>
  <c r="N34" i="19"/>
  <c r="O64" i="19"/>
  <c r="O67" i="19"/>
  <c r="O84" i="19"/>
  <c r="O61" i="19"/>
  <c r="N21" i="19"/>
  <c r="N6" i="19"/>
  <c r="N37" i="19"/>
  <c r="N20" i="19"/>
  <c r="O13" i="19" l="1"/>
  <c r="N13" i="19"/>
  <c r="O33" i="19"/>
  <c r="O56" i="19"/>
  <c r="N56" i="19"/>
  <c r="N89" i="19"/>
  <c r="M89" i="19"/>
  <c r="O72" i="19"/>
  <c r="N72" i="19"/>
  <c r="O40" i="19"/>
  <c r="N40" i="19"/>
  <c r="O74" i="19"/>
  <c r="N74" i="19"/>
  <c r="N28" i="19"/>
  <c r="N52" i="19"/>
  <c r="O18" i="19"/>
  <c r="N18" i="19"/>
  <c r="O85" i="19"/>
  <c r="N85" i="19"/>
  <c r="H82" i="19"/>
  <c r="H86" i="19"/>
  <c r="H9" i="19"/>
  <c r="P9" i="19" s="1"/>
  <c r="H63" i="19"/>
  <c r="H11" i="19"/>
  <c r="P11" i="19" s="1"/>
  <c r="H10" i="19"/>
  <c r="P10" i="19" s="1"/>
  <c r="H60" i="19"/>
  <c r="H17" i="19"/>
  <c r="P17" i="19" s="1"/>
  <c r="H76" i="19"/>
  <c r="H48" i="19"/>
  <c r="P48" i="19" s="1"/>
  <c r="H80" i="19"/>
  <c r="H43" i="19"/>
  <c r="P43" i="19" s="1"/>
  <c r="H73" i="19"/>
  <c r="H64" i="19"/>
  <c r="H88" i="19"/>
  <c r="P88" i="19" s="1"/>
  <c r="H7" i="19"/>
  <c r="P7" i="19" s="1"/>
  <c r="H78" i="19"/>
  <c r="H70" i="19"/>
  <c r="P78" i="19" l="1"/>
  <c r="P86" i="19"/>
  <c r="W86" i="19" s="1"/>
  <c r="P60" i="19"/>
  <c r="W60" i="19" s="1"/>
  <c r="P76" i="19"/>
  <c r="P70" i="19"/>
  <c r="P63" i="19"/>
  <c r="P82" i="19"/>
  <c r="P80" i="19"/>
  <c r="P73" i="19"/>
  <c r="H72" i="19"/>
  <c r="H65" i="19"/>
  <c r="P65" i="19" s="1"/>
  <c r="H26" i="19"/>
  <c r="P26" i="19" s="1"/>
  <c r="H31" i="19"/>
  <c r="P31" i="19" s="1"/>
  <c r="H28" i="19"/>
  <c r="P28" i="19" s="1"/>
  <c r="H32" i="19"/>
  <c r="P32" i="19" s="1"/>
  <c r="H49" i="19"/>
  <c r="P49" i="19" s="1"/>
  <c r="H74" i="19"/>
  <c r="H61" i="19"/>
  <c r="H83" i="19"/>
  <c r="H37" i="19"/>
  <c r="P37" i="19" s="1"/>
  <c r="H18" i="19"/>
  <c r="P18" i="19" s="1"/>
  <c r="H13" i="19"/>
  <c r="P13" i="19" s="1"/>
  <c r="H20" i="19"/>
  <c r="P20" i="19" s="1"/>
  <c r="H35" i="19"/>
  <c r="P35" i="19" s="1"/>
  <c r="H79" i="19"/>
  <c r="H24" i="19"/>
  <c r="H50" i="19"/>
  <c r="P50" i="19" s="1"/>
  <c r="H56" i="19"/>
  <c r="H81" i="19"/>
  <c r="P81" i="19" s="1"/>
  <c r="H51" i="19"/>
  <c r="P51" i="19" s="1"/>
  <c r="H62" i="19"/>
  <c r="H27" i="19"/>
  <c r="P27" i="19" s="1"/>
  <c r="H21" i="19"/>
  <c r="P21" i="19" s="1"/>
  <c r="H75" i="19"/>
  <c r="H77" i="19"/>
  <c r="H66" i="19"/>
  <c r="W17" i="19"/>
  <c r="W7" i="19"/>
  <c r="W43" i="19"/>
  <c r="H12" i="19"/>
  <c r="P12" i="19" s="1"/>
  <c r="H58" i="19"/>
  <c r="H69" i="19"/>
  <c r="H84" i="19"/>
  <c r="H34" i="19"/>
  <c r="P34" i="19" s="1"/>
  <c r="H25" i="19"/>
  <c r="P25" i="19" s="1"/>
  <c r="H14" i="19"/>
  <c r="P14" i="19" s="1"/>
  <c r="H87" i="19"/>
  <c r="H89" i="19"/>
  <c r="H45" i="19"/>
  <c r="P45" i="19" s="1"/>
  <c r="H30" i="19"/>
  <c r="P30" i="19" s="1"/>
  <c r="H53" i="19"/>
  <c r="P53" i="19" s="1"/>
  <c r="H40" i="19"/>
  <c r="P40" i="19" s="1"/>
  <c r="W9" i="19"/>
  <c r="H85" i="19"/>
  <c r="H46" i="19"/>
  <c r="P46" i="19" s="1"/>
  <c r="H57" i="19"/>
  <c r="H15" i="19"/>
  <c r="P15" i="19" s="1"/>
  <c r="H71" i="19"/>
  <c r="H38" i="19"/>
  <c r="P38" i="19" s="1"/>
  <c r="H54" i="19"/>
  <c r="P54" i="19" s="1"/>
  <c r="H19" i="19"/>
  <c r="P19" i="19" s="1"/>
  <c r="H59" i="19"/>
  <c r="W48" i="19"/>
  <c r="H6" i="19"/>
  <c r="P6" i="19" s="1"/>
  <c r="H23" i="19"/>
  <c r="P23" i="19" s="1"/>
  <c r="H47" i="19"/>
  <c r="P47" i="19" s="1"/>
  <c r="H36" i="19"/>
  <c r="P36" i="19" s="1"/>
  <c r="H29" i="19"/>
  <c r="P29" i="19" s="1"/>
  <c r="H67" i="19"/>
  <c r="H44" i="19"/>
  <c r="P44" i="19" s="1"/>
  <c r="H16" i="19"/>
  <c r="P16" i="19" s="1"/>
  <c r="H68" i="19"/>
  <c r="H52" i="19"/>
  <c r="P52" i="19" s="1"/>
  <c r="H39" i="19"/>
  <c r="P39" i="19" s="1"/>
  <c r="W78" i="19"/>
  <c r="W88" i="19"/>
  <c r="H22" i="19"/>
  <c r="P22" i="19" s="1"/>
  <c r="H55" i="19"/>
  <c r="P55" i="19" s="1"/>
  <c r="W10" i="19"/>
  <c r="H33" i="19"/>
  <c r="P33" i="19" s="1"/>
  <c r="W11" i="19"/>
  <c r="H41" i="19"/>
  <c r="P41" i="19" s="1"/>
  <c r="H42" i="19"/>
  <c r="P42" i="19" s="1"/>
  <c r="H8" i="19"/>
  <c r="P8" i="19" s="1"/>
  <c r="W82" i="19" l="1"/>
  <c r="W73" i="19"/>
  <c r="W6" i="19"/>
  <c r="W70" i="19"/>
  <c r="W63" i="19"/>
  <c r="P62" i="19"/>
  <c r="P74" i="19"/>
  <c r="P57" i="19"/>
  <c r="W76" i="19"/>
  <c r="W80" i="19"/>
  <c r="P84" i="19"/>
  <c r="P75" i="19"/>
  <c r="P83" i="19"/>
  <c r="P66" i="19"/>
  <c r="P77" i="19"/>
  <c r="P87" i="19"/>
  <c r="P67" i="19"/>
  <c r="P69" i="19"/>
  <c r="W21" i="19"/>
  <c r="P68" i="19"/>
  <c r="P89" i="19"/>
  <c r="P71" i="19"/>
  <c r="P58" i="19"/>
  <c r="P85" i="19"/>
  <c r="P72" i="19"/>
  <c r="P79" i="19"/>
  <c r="P61" i="19"/>
  <c r="P56" i="19"/>
  <c r="P59" i="19"/>
  <c r="P64" i="19"/>
  <c r="W26" i="19"/>
  <c r="W49" i="19"/>
  <c r="W31" i="19"/>
  <c r="W27" i="19"/>
  <c r="W37" i="19"/>
  <c r="W13" i="19"/>
  <c r="W18" i="19"/>
  <c r="W20" i="19"/>
  <c r="W32" i="19"/>
  <c r="W36" i="19"/>
  <c r="W53" i="19"/>
  <c r="W33" i="19"/>
  <c r="W29" i="19"/>
  <c r="W40" i="19"/>
  <c r="W35" i="19"/>
  <c r="W55" i="19"/>
  <c r="W22" i="19"/>
  <c r="W45" i="19"/>
  <c r="W19" i="19"/>
  <c r="W30" i="19"/>
  <c r="W8" i="19"/>
  <c r="W16" i="19"/>
  <c r="W47" i="19"/>
  <c r="W54" i="19"/>
  <c r="W38" i="19"/>
  <c r="W50" i="19"/>
  <c r="W52" i="19"/>
  <c r="W46" i="19"/>
  <c r="W14" i="19"/>
  <c r="W41" i="19"/>
  <c r="W39" i="19"/>
  <c r="W44" i="19"/>
  <c r="W23" i="19"/>
  <c r="W51" i="19"/>
  <c r="W34" i="19"/>
  <c r="W81" i="19"/>
  <c r="W28" i="19"/>
  <c r="W65" i="19"/>
  <c r="W42" i="19"/>
  <c r="W15" i="19"/>
  <c r="W25" i="19"/>
  <c r="W12" i="19"/>
  <c r="W57" i="19" l="1"/>
  <c r="W62" i="19"/>
  <c r="W74" i="19"/>
  <c r="W83" i="19"/>
  <c r="W66" i="19"/>
  <c r="W67" i="19"/>
  <c r="W84" i="19"/>
  <c r="W85" i="19"/>
  <c r="W77" i="19"/>
  <c r="W59" i="19"/>
  <c r="W71" i="19"/>
  <c r="W75" i="19"/>
  <c r="W69" i="19"/>
  <c r="W89" i="19"/>
  <c r="W56" i="19"/>
  <c r="W87" i="19"/>
  <c r="W68" i="19"/>
  <c r="W79" i="19"/>
  <c r="W58" i="19"/>
  <c r="W72" i="19"/>
  <c r="W61" i="19"/>
  <c r="W64" i="19"/>
  <c r="P24" i="19" l="1"/>
  <c r="W24" i="19" s="1"/>
  <c r="W90" i="19" s="1"/>
  <c r="W3" i="19" s="1"/>
  <c r="AD3" i="19" s="1"/>
  <c r="AD36" i="19" l="1"/>
  <c r="AD15" i="19"/>
  <c r="AD49" i="19"/>
  <c r="AD25" i="19"/>
  <c r="AD78" i="19"/>
  <c r="AD12" i="19"/>
  <c r="AD68" i="19"/>
  <c r="AD40" i="19"/>
  <c r="AD45" i="19"/>
  <c r="AD48" i="19"/>
  <c r="AD17" i="19"/>
  <c r="AD41" i="19"/>
  <c r="AD37" i="19"/>
  <c r="AD21" i="19"/>
  <c r="AD27" i="19"/>
  <c r="AD59" i="19"/>
  <c r="AD67" i="19"/>
  <c r="AD26" i="19"/>
  <c r="AD30" i="19"/>
  <c r="AD44" i="19"/>
  <c r="AD69" i="19"/>
  <c r="AD83" i="19"/>
  <c r="AD80" i="19"/>
  <c r="AD88" i="19"/>
  <c r="AD57" i="19"/>
  <c r="AD70" i="19"/>
  <c r="AD8" i="19"/>
  <c r="AD14" i="19"/>
  <c r="AD43" i="19"/>
  <c r="AD51" i="19"/>
  <c r="AD31" i="19"/>
  <c r="AD81" i="19"/>
  <c r="AD64" i="19"/>
  <c r="AD46" i="19"/>
  <c r="AD53" i="19"/>
  <c r="AD73" i="19"/>
  <c r="AD10" i="19"/>
  <c r="AD75" i="19"/>
  <c r="AD22" i="19"/>
  <c r="AD33" i="19"/>
  <c r="AD60" i="19"/>
  <c r="AD20" i="19"/>
  <c r="AD29" i="19"/>
  <c r="AD87" i="19"/>
  <c r="AD7" i="19"/>
  <c r="AD39" i="19"/>
  <c r="AD58" i="19"/>
  <c r="AD89" i="19"/>
  <c r="AD71" i="19"/>
  <c r="AD84" i="19"/>
  <c r="AD66" i="19"/>
  <c r="AD16" i="19"/>
  <c r="AD18" i="19"/>
  <c r="AD6" i="19"/>
  <c r="AD72" i="19"/>
  <c r="AD79" i="19"/>
  <c r="AD13" i="19"/>
  <c r="AD19" i="19"/>
  <c r="AD50" i="19"/>
  <c r="AD38" i="19"/>
  <c r="AD86" i="19"/>
  <c r="AD9" i="19"/>
  <c r="AD85" i="19"/>
  <c r="AD63" i="19"/>
  <c r="AD32" i="19"/>
  <c r="AD23" i="19"/>
  <c r="AD62" i="19"/>
  <c r="AD61" i="19"/>
  <c r="AD54" i="19"/>
  <c r="AD52" i="19"/>
  <c r="AD65" i="19"/>
  <c r="AD42" i="19"/>
  <c r="AD82" i="19"/>
  <c r="AD34" i="19"/>
  <c r="AD55" i="19"/>
  <c r="AD56" i="19"/>
  <c r="AD11" i="19"/>
  <c r="AD28" i="19"/>
  <c r="AD74" i="19"/>
  <c r="AD76" i="19"/>
  <c r="AD47" i="19"/>
  <c r="AD77" i="19"/>
  <c r="AD35" i="19"/>
  <c r="AD24" i="19"/>
  <c r="AE42" i="19" l="1"/>
  <c r="AG42" i="19"/>
  <c r="AH42" i="19"/>
  <c r="AI42" i="19" s="1"/>
  <c r="AF42" i="19"/>
  <c r="AH79" i="19"/>
  <c r="AI79" i="19" s="1"/>
  <c r="AE79" i="19"/>
  <c r="AG79" i="19"/>
  <c r="AF79" i="19"/>
  <c r="AH85" i="19"/>
  <c r="AI85" i="19" s="1"/>
  <c r="AG85" i="19"/>
  <c r="AE85" i="19"/>
  <c r="AF85" i="19"/>
  <c r="AG72" i="19"/>
  <c r="AH72" i="19"/>
  <c r="AI72" i="19" s="1"/>
  <c r="AE72" i="19"/>
  <c r="AF72" i="19"/>
  <c r="AH58" i="19"/>
  <c r="AI58" i="19" s="1"/>
  <c r="AE58" i="19"/>
  <c r="AG58" i="19"/>
  <c r="AF58" i="19"/>
  <c r="AG22" i="19"/>
  <c r="AE22" i="19"/>
  <c r="AH22" i="19"/>
  <c r="AI22" i="19" s="1"/>
  <c r="AF22" i="19"/>
  <c r="AH31" i="19"/>
  <c r="AI31" i="19" s="1"/>
  <c r="AG31" i="19"/>
  <c r="AE31" i="19"/>
  <c r="AF31" i="19"/>
  <c r="AH80" i="19"/>
  <c r="AI80" i="19" s="1"/>
  <c r="AG80" i="19"/>
  <c r="AE80" i="19"/>
  <c r="AF80" i="19"/>
  <c r="AH27" i="19"/>
  <c r="AI27" i="19" s="1"/>
  <c r="AE27" i="19"/>
  <c r="AG27" i="19"/>
  <c r="AF27" i="19"/>
  <c r="AH68" i="19"/>
  <c r="AI68" i="19" s="1"/>
  <c r="AG68" i="19"/>
  <c r="AE68" i="19"/>
  <c r="AF68" i="19"/>
  <c r="AH63" i="19"/>
  <c r="AI63" i="19" s="1"/>
  <c r="AE63" i="19"/>
  <c r="AG63" i="19"/>
  <c r="AF63" i="19"/>
  <c r="AH33" i="19"/>
  <c r="AI33" i="19" s="1"/>
  <c r="AE33" i="19"/>
  <c r="AG33" i="19"/>
  <c r="AF33" i="19"/>
  <c r="AH65" i="19"/>
  <c r="AI65" i="19" s="1"/>
  <c r="AE65" i="19"/>
  <c r="AG65" i="19"/>
  <c r="AF65" i="19"/>
  <c r="AH28" i="19"/>
  <c r="AI28" i="19" s="1"/>
  <c r="AE28" i="19"/>
  <c r="AG28" i="19"/>
  <c r="AF28" i="19"/>
  <c r="AE52" i="19"/>
  <c r="AG52" i="19"/>
  <c r="AH52" i="19"/>
  <c r="AI52" i="19" s="1"/>
  <c r="AF52" i="19"/>
  <c r="AH9" i="19"/>
  <c r="AI9" i="19" s="1"/>
  <c r="AE9" i="19"/>
  <c r="AG9" i="19"/>
  <c r="AF9" i="19"/>
  <c r="AG6" i="19"/>
  <c r="AE6" i="19"/>
  <c r="AH6" i="19"/>
  <c r="AI6" i="19" s="1"/>
  <c r="AF6" i="19"/>
  <c r="AG39" i="19"/>
  <c r="AH39" i="19"/>
  <c r="AI39" i="19" s="1"/>
  <c r="AE39" i="19"/>
  <c r="AF39" i="19"/>
  <c r="AH75" i="19"/>
  <c r="AI75" i="19" s="1"/>
  <c r="AE75" i="19"/>
  <c r="AG75" i="19"/>
  <c r="AF75" i="19"/>
  <c r="AH51" i="19"/>
  <c r="AI51" i="19" s="1"/>
  <c r="AE51" i="19"/>
  <c r="AG51" i="19"/>
  <c r="AF51" i="19"/>
  <c r="AH83" i="19"/>
  <c r="AI83" i="19" s="1"/>
  <c r="AG83" i="19"/>
  <c r="AE83" i="19"/>
  <c r="AF83" i="19"/>
  <c r="AG21" i="19"/>
  <c r="AH21" i="19"/>
  <c r="AI21" i="19" s="1"/>
  <c r="AE21" i="19"/>
  <c r="AF21" i="19"/>
  <c r="AH12" i="19"/>
  <c r="AI12" i="19" s="1"/>
  <c r="AG12" i="19"/>
  <c r="AE12" i="19"/>
  <c r="AF12" i="19"/>
  <c r="AH89" i="19"/>
  <c r="AI89" i="19" s="1"/>
  <c r="AG89" i="19"/>
  <c r="AE89" i="19"/>
  <c r="AF89" i="19"/>
  <c r="AH86" i="19"/>
  <c r="AI86" i="19" s="1"/>
  <c r="AG86" i="19"/>
  <c r="AE86" i="19"/>
  <c r="AF86" i="19"/>
  <c r="AE18" i="19"/>
  <c r="AG18" i="19"/>
  <c r="AH18" i="19"/>
  <c r="AI18" i="19" s="1"/>
  <c r="AF18" i="19"/>
  <c r="AE7" i="19"/>
  <c r="AG7" i="19"/>
  <c r="AH7" i="19"/>
  <c r="AI7" i="19" s="1"/>
  <c r="AF7" i="19"/>
  <c r="AH10" i="19"/>
  <c r="AI10" i="19" s="1"/>
  <c r="AE10" i="19"/>
  <c r="AG10" i="19"/>
  <c r="AF10" i="19"/>
  <c r="AH43" i="19"/>
  <c r="AI43" i="19" s="1"/>
  <c r="AG43" i="19"/>
  <c r="AE43" i="19"/>
  <c r="AF43" i="19"/>
  <c r="AH69" i="19"/>
  <c r="AI69" i="19" s="1"/>
  <c r="AE69" i="19"/>
  <c r="AG69" i="19"/>
  <c r="AF69" i="19"/>
  <c r="AE37" i="19"/>
  <c r="AH37" i="19"/>
  <c r="AI37" i="19" s="1"/>
  <c r="AG37" i="19"/>
  <c r="AF37" i="19"/>
  <c r="AH78" i="19"/>
  <c r="AI78" i="19" s="1"/>
  <c r="AG78" i="19"/>
  <c r="AE78" i="19"/>
  <c r="AF78" i="19"/>
  <c r="AG88" i="19"/>
  <c r="AH88" i="19"/>
  <c r="AI88" i="19" s="1"/>
  <c r="AE88" i="19"/>
  <c r="AF88" i="19"/>
  <c r="AH56" i="19"/>
  <c r="AI56" i="19" s="1"/>
  <c r="AG56" i="19"/>
  <c r="AE56" i="19"/>
  <c r="AF56" i="19"/>
  <c r="AH16" i="19"/>
  <c r="AI16" i="19" s="1"/>
  <c r="AG16" i="19"/>
  <c r="AE16" i="19"/>
  <c r="AF16" i="19"/>
  <c r="AE87" i="19"/>
  <c r="AG87" i="19"/>
  <c r="AH87" i="19"/>
  <c r="AI87" i="19" s="1"/>
  <c r="AF87" i="19"/>
  <c r="AG73" i="19"/>
  <c r="AH73" i="19"/>
  <c r="AI73" i="19" s="1"/>
  <c r="AE73" i="19"/>
  <c r="AF73" i="19"/>
  <c r="AH14" i="19"/>
  <c r="AI14" i="19" s="1"/>
  <c r="AG14" i="19"/>
  <c r="AE14" i="19"/>
  <c r="AF14" i="19"/>
  <c r="AE44" i="19"/>
  <c r="AG44" i="19"/>
  <c r="AH44" i="19"/>
  <c r="AI44" i="19" s="1"/>
  <c r="AF44" i="19"/>
  <c r="AE41" i="19"/>
  <c r="AH41" i="19"/>
  <c r="AI41" i="19" s="1"/>
  <c r="AG41" i="19"/>
  <c r="AF41" i="19"/>
  <c r="AH25" i="19"/>
  <c r="AI25" i="19" s="1"/>
  <c r="AE25" i="19"/>
  <c r="AG25" i="19"/>
  <c r="AF25" i="19"/>
  <c r="AH76" i="19"/>
  <c r="AI76" i="19" s="1"/>
  <c r="AG76" i="19"/>
  <c r="AE76" i="19"/>
  <c r="AF76" i="19"/>
  <c r="AH81" i="19"/>
  <c r="AI81" i="19" s="1"/>
  <c r="AE81" i="19"/>
  <c r="AG81" i="19"/>
  <c r="AF81" i="19"/>
  <c r="AH74" i="19"/>
  <c r="AI74" i="19" s="1"/>
  <c r="AG74" i="19"/>
  <c r="AE74" i="19"/>
  <c r="AF74" i="19"/>
  <c r="AE11" i="19"/>
  <c r="AG11" i="19"/>
  <c r="AH11" i="19"/>
  <c r="AI11" i="19" s="1"/>
  <c r="AF11" i="19"/>
  <c r="AG61" i="19"/>
  <c r="AH61" i="19"/>
  <c r="AI61" i="19" s="1"/>
  <c r="AE61" i="19"/>
  <c r="AF61" i="19"/>
  <c r="AH35" i="19"/>
  <c r="AI35" i="19" s="1"/>
  <c r="AE35" i="19"/>
  <c r="AG35" i="19"/>
  <c r="AF35" i="19"/>
  <c r="AH55" i="19"/>
  <c r="AI55" i="19" s="1"/>
  <c r="AG55" i="19"/>
  <c r="AE55" i="19"/>
  <c r="AF55" i="19"/>
  <c r="AH62" i="19"/>
  <c r="AI62" i="19" s="1"/>
  <c r="AE62" i="19"/>
  <c r="AG62" i="19"/>
  <c r="AF62" i="19"/>
  <c r="AE50" i="19"/>
  <c r="AH50" i="19"/>
  <c r="AI50" i="19" s="1"/>
  <c r="AG50" i="19"/>
  <c r="AF50" i="19"/>
  <c r="AH66" i="19"/>
  <c r="AI66" i="19" s="1"/>
  <c r="AG66" i="19"/>
  <c r="AE66" i="19"/>
  <c r="AF66" i="19"/>
  <c r="AH29" i="19"/>
  <c r="AI29" i="19" s="1"/>
  <c r="AG29" i="19"/>
  <c r="AE29" i="19"/>
  <c r="AF29" i="19"/>
  <c r="AE53" i="19"/>
  <c r="AH53" i="19"/>
  <c r="AI53" i="19" s="1"/>
  <c r="AG53" i="19"/>
  <c r="AF53" i="19"/>
  <c r="AH8" i="19"/>
  <c r="AI8" i="19" s="1"/>
  <c r="AG8" i="19"/>
  <c r="AE8" i="19"/>
  <c r="AF8" i="19"/>
  <c r="AG30" i="19"/>
  <c r="AE30" i="19"/>
  <c r="AH30" i="19"/>
  <c r="AI30" i="19" s="1"/>
  <c r="AF30" i="19"/>
  <c r="AH17" i="19"/>
  <c r="AI17" i="19" s="1"/>
  <c r="AG17" i="19"/>
  <c r="AE17" i="19"/>
  <c r="AF17" i="19"/>
  <c r="AH49" i="19"/>
  <c r="AI49" i="19" s="1"/>
  <c r="AE49" i="19"/>
  <c r="AG49" i="19"/>
  <c r="AF49" i="19"/>
  <c r="AH59" i="19"/>
  <c r="AI59" i="19" s="1"/>
  <c r="AG59" i="19"/>
  <c r="AE59" i="19"/>
  <c r="AF59" i="19"/>
  <c r="AH38" i="19"/>
  <c r="AI38" i="19" s="1"/>
  <c r="AE38" i="19"/>
  <c r="AG38" i="19"/>
  <c r="AF38" i="19"/>
  <c r="AG77" i="19"/>
  <c r="AE77" i="19"/>
  <c r="AH77" i="19"/>
  <c r="AI77" i="19" s="1"/>
  <c r="AF77" i="19"/>
  <c r="AH34" i="19"/>
  <c r="AI34" i="19" s="1"/>
  <c r="AG34" i="19"/>
  <c r="AE34" i="19"/>
  <c r="AF34" i="19"/>
  <c r="AE23" i="19"/>
  <c r="AG23" i="19"/>
  <c r="AH23" i="19"/>
  <c r="AI23" i="19" s="1"/>
  <c r="AF23" i="19"/>
  <c r="AE19" i="19"/>
  <c r="AH19" i="19"/>
  <c r="AI19" i="19" s="1"/>
  <c r="AG19" i="19"/>
  <c r="AF19" i="19"/>
  <c r="AH84" i="19"/>
  <c r="AI84" i="19" s="1"/>
  <c r="AE84" i="19"/>
  <c r="AG84" i="19"/>
  <c r="AF84" i="19"/>
  <c r="AH20" i="19"/>
  <c r="AI20" i="19" s="1"/>
  <c r="AE20" i="19"/>
  <c r="AG20" i="19"/>
  <c r="AF20" i="19"/>
  <c r="AE46" i="19"/>
  <c r="AG46" i="19"/>
  <c r="AH46" i="19"/>
  <c r="AI46" i="19" s="1"/>
  <c r="AF46" i="19"/>
  <c r="AE70" i="19"/>
  <c r="AH70" i="19"/>
  <c r="AI70" i="19" s="1"/>
  <c r="AG70" i="19"/>
  <c r="AF70" i="19"/>
  <c r="AG26" i="19"/>
  <c r="AH26" i="19"/>
  <c r="AI26" i="19" s="1"/>
  <c r="AE26" i="19"/>
  <c r="AF26" i="19"/>
  <c r="AH48" i="19"/>
  <c r="AI48" i="19" s="1"/>
  <c r="AG48" i="19"/>
  <c r="AE48" i="19"/>
  <c r="AF48" i="19"/>
  <c r="AH15" i="19"/>
  <c r="AI15" i="19" s="1"/>
  <c r="AG15" i="19"/>
  <c r="AE15" i="19"/>
  <c r="AF15" i="19"/>
  <c r="AH40" i="19"/>
  <c r="AI40" i="19" s="1"/>
  <c r="AE40" i="19"/>
  <c r="AG40" i="19"/>
  <c r="AF40" i="19"/>
  <c r="AH54" i="19"/>
  <c r="AI54" i="19" s="1"/>
  <c r="AG54" i="19"/>
  <c r="AE54" i="19"/>
  <c r="AF54" i="19"/>
  <c r="AE24" i="19"/>
  <c r="AG24" i="19"/>
  <c r="AH24" i="19"/>
  <c r="AI24" i="19" s="1"/>
  <c r="AF24" i="19"/>
  <c r="AH47" i="19"/>
  <c r="AI47" i="19" s="1"/>
  <c r="AG47" i="19"/>
  <c r="AE47" i="19"/>
  <c r="AF47" i="19"/>
  <c r="AE82" i="19"/>
  <c r="AG82" i="19"/>
  <c r="AH82" i="19"/>
  <c r="AI82" i="19" s="1"/>
  <c r="AF82" i="19"/>
  <c r="AH32" i="19"/>
  <c r="AI32" i="19" s="1"/>
  <c r="AE32" i="19"/>
  <c r="AG32" i="19"/>
  <c r="AF32" i="19"/>
  <c r="AH13" i="19"/>
  <c r="AI13" i="19" s="1"/>
  <c r="AE13" i="19"/>
  <c r="AG13" i="19"/>
  <c r="AF13" i="19"/>
  <c r="AH71" i="19"/>
  <c r="AI71" i="19" s="1"/>
  <c r="AG71" i="19"/>
  <c r="AE71" i="19"/>
  <c r="AF71" i="19"/>
  <c r="AH60" i="19"/>
  <c r="AI60" i="19" s="1"/>
  <c r="AG60" i="19"/>
  <c r="AE60" i="19"/>
  <c r="AF60" i="19"/>
  <c r="AH64" i="19"/>
  <c r="AI64" i="19" s="1"/>
  <c r="AG64" i="19"/>
  <c r="AE64" i="19"/>
  <c r="AF64" i="19"/>
  <c r="AH57" i="19"/>
  <c r="AI57" i="19" s="1"/>
  <c r="AG57" i="19"/>
  <c r="AE57" i="19"/>
  <c r="AF57" i="19"/>
  <c r="AH67" i="19"/>
  <c r="AI67" i="19" s="1"/>
  <c r="AE67" i="19"/>
  <c r="AG67" i="19"/>
  <c r="AF67" i="19"/>
  <c r="AG45" i="19"/>
  <c r="AE45" i="19"/>
  <c r="AH45" i="19"/>
  <c r="AI45" i="19" s="1"/>
  <c r="AF45" i="19"/>
  <c r="AH36" i="19"/>
  <c r="AI36" i="19" s="1"/>
  <c r="AE36" i="19"/>
  <c r="AG36" i="19"/>
  <c r="AF36" i="19"/>
  <c r="AF90" i="19" l="1"/>
  <c r="AI90" i="19"/>
  <c r="AK54" i="19" s="1"/>
  <c r="AE90" i="19"/>
  <c r="AG90" i="19"/>
  <c r="AJ65" i="19" l="1"/>
  <c r="AL77" i="19"/>
  <c r="AJ62" i="19"/>
  <c r="AK67" i="19"/>
  <c r="AJ56" i="19"/>
  <c r="AJ12" i="19"/>
  <c r="AK20" i="19"/>
  <c r="AL26" i="19"/>
  <c r="AJ79" i="19"/>
  <c r="AJ57" i="19"/>
  <c r="AK68" i="19"/>
  <c r="AJ30" i="19"/>
  <c r="AK59" i="19"/>
  <c r="AK6" i="19"/>
  <c r="AL34" i="19"/>
  <c r="AJ45" i="19"/>
  <c r="AK40" i="19"/>
  <c r="AJ23" i="19"/>
  <c r="AL55" i="19"/>
  <c r="AL85" i="19"/>
  <c r="AJ44" i="19"/>
  <c r="AK21" i="19"/>
  <c r="AL89" i="19"/>
  <c r="AN89" i="19" s="1"/>
  <c r="AL43" i="19"/>
  <c r="AK18" i="19"/>
  <c r="AJ88" i="19"/>
  <c r="AL13" i="19"/>
  <c r="AK84" i="19"/>
  <c r="AK31" i="19"/>
  <c r="AL11" i="19"/>
  <c r="AJ51" i="19"/>
  <c r="AK78" i="19"/>
  <c r="AK29" i="19"/>
  <c r="AL18" i="19"/>
  <c r="AJ84" i="19"/>
  <c r="AL9" i="19"/>
  <c r="AJ59" i="19"/>
  <c r="AL33" i="19"/>
  <c r="AK23" i="19"/>
  <c r="AK85" i="19"/>
  <c r="AL27" i="19"/>
  <c r="AK65" i="19"/>
  <c r="AL75" i="19"/>
  <c r="AK12" i="19"/>
  <c r="AJ43" i="19"/>
  <c r="AL16" i="19"/>
  <c r="AK44" i="19"/>
  <c r="AK11" i="19"/>
  <c r="AL66" i="19"/>
  <c r="AK30" i="19"/>
  <c r="AJ34" i="19"/>
  <c r="AL70" i="19"/>
  <c r="AJ40" i="19"/>
  <c r="AJ13" i="19"/>
  <c r="AL17" i="19"/>
  <c r="AK51" i="19"/>
  <c r="AK77" i="19"/>
  <c r="AL72" i="19"/>
  <c r="AK56" i="19"/>
  <c r="AK26" i="19"/>
  <c r="AL22" i="19"/>
  <c r="AJ68" i="19"/>
  <c r="AJ89" i="19"/>
  <c r="AL14" i="19"/>
  <c r="AJ29" i="19"/>
  <c r="AJ18" i="19"/>
  <c r="AL71" i="19"/>
  <c r="AK9" i="19"/>
  <c r="AL47" i="19"/>
  <c r="AJ33" i="19"/>
  <c r="AL32" i="19"/>
  <c r="AJ85" i="19"/>
  <c r="AJ27" i="19"/>
  <c r="AL52" i="19"/>
  <c r="AK75" i="19"/>
  <c r="AL86" i="19"/>
  <c r="AK43" i="19"/>
  <c r="AK16" i="19"/>
  <c r="AL25" i="19"/>
  <c r="AJ11" i="19"/>
  <c r="AJ66" i="19"/>
  <c r="AL49" i="19"/>
  <c r="AK34" i="19"/>
  <c r="AK70" i="19"/>
  <c r="AL24" i="19"/>
  <c r="AK13" i="19"/>
  <c r="AJ17" i="19"/>
  <c r="AL87" i="19"/>
  <c r="AJ77" i="19"/>
  <c r="AK72" i="19"/>
  <c r="AL61" i="19"/>
  <c r="AJ26" i="19"/>
  <c r="AJ22" i="19"/>
  <c r="AL28" i="19"/>
  <c r="AK89" i="19"/>
  <c r="AJ14" i="19"/>
  <c r="AL46" i="19"/>
  <c r="AN46" i="19" s="1"/>
  <c r="AK71" i="19"/>
  <c r="AJ9" i="19"/>
  <c r="AJ47" i="19"/>
  <c r="AK33" i="19"/>
  <c r="AJ32" i="19"/>
  <c r="AL58" i="19"/>
  <c r="AK27" i="19"/>
  <c r="AJ52" i="19"/>
  <c r="AJ75" i="19"/>
  <c r="AK86" i="19"/>
  <c r="AL37" i="19"/>
  <c r="AJ16" i="19"/>
  <c r="AJ25" i="19"/>
  <c r="AL35" i="19"/>
  <c r="AN35" i="19" s="1"/>
  <c r="AK66" i="19"/>
  <c r="AJ49" i="19"/>
  <c r="AL19" i="19"/>
  <c r="AJ70" i="19"/>
  <c r="AJ24" i="19"/>
  <c r="AL60" i="19"/>
  <c r="AK17" i="19"/>
  <c r="AK87" i="19"/>
  <c r="AL15" i="19"/>
  <c r="AJ72" i="19"/>
  <c r="AK61" i="19"/>
  <c r="AL36" i="19"/>
  <c r="AN36" i="19" s="1"/>
  <c r="AK22" i="19"/>
  <c r="AJ28" i="19"/>
  <c r="AL69" i="19"/>
  <c r="AK14" i="19"/>
  <c r="AJ46" i="19"/>
  <c r="AR89" i="19"/>
  <c r="AS89" i="19" s="1"/>
  <c r="AO89" i="19"/>
  <c r="AQ89" i="19"/>
  <c r="AP89" i="19"/>
  <c r="AJ71" i="19"/>
  <c r="AL41" i="19"/>
  <c r="AK47" i="19"/>
  <c r="AL76" i="19"/>
  <c r="AK32" i="19"/>
  <c r="AJ58" i="19"/>
  <c r="AL63" i="19"/>
  <c r="AK52" i="19"/>
  <c r="AL83" i="19"/>
  <c r="AJ86" i="19"/>
  <c r="AK37" i="19"/>
  <c r="AL73" i="19"/>
  <c r="AK25" i="19"/>
  <c r="AJ35" i="19"/>
  <c r="AL53" i="19"/>
  <c r="AK49" i="19"/>
  <c r="AJ19" i="19"/>
  <c r="AL48" i="19"/>
  <c r="AK24" i="19"/>
  <c r="AK60" i="19"/>
  <c r="AL64" i="19"/>
  <c r="AJ87" i="19"/>
  <c r="AJ15" i="19"/>
  <c r="AL10" i="19"/>
  <c r="AJ61" i="19"/>
  <c r="AJ36" i="19"/>
  <c r="AL80" i="19"/>
  <c r="AK28" i="19"/>
  <c r="AJ69" i="19"/>
  <c r="AL74" i="19"/>
  <c r="AK46" i="19"/>
  <c r="AJ76" i="19"/>
  <c r="AL42" i="19"/>
  <c r="AK58" i="19"/>
  <c r="AJ63" i="19"/>
  <c r="AL6" i="19"/>
  <c r="AK83" i="19"/>
  <c r="AL7" i="19"/>
  <c r="AJ37" i="19"/>
  <c r="AK73" i="19"/>
  <c r="AL81" i="19"/>
  <c r="AK35" i="19"/>
  <c r="AJ53" i="19"/>
  <c r="AL38" i="19"/>
  <c r="AK19" i="19"/>
  <c r="AK48" i="19"/>
  <c r="AL82" i="19"/>
  <c r="AJ60" i="19"/>
  <c r="AJ64" i="19"/>
  <c r="AL50" i="19"/>
  <c r="AK15" i="19"/>
  <c r="AK10" i="19"/>
  <c r="AL8" i="19"/>
  <c r="AK36" i="19"/>
  <c r="AJ80" i="19"/>
  <c r="AL39" i="19"/>
  <c r="AK69" i="19"/>
  <c r="AJ74" i="19"/>
  <c r="AL54" i="19"/>
  <c r="AJ41" i="19"/>
  <c r="AJ55" i="19"/>
  <c r="AL57" i="19"/>
  <c r="AK41" i="19"/>
  <c r="AL45" i="19"/>
  <c r="AK76" i="19"/>
  <c r="AK42" i="19"/>
  <c r="AL31" i="19"/>
  <c r="AK63" i="19"/>
  <c r="AJ6" i="19"/>
  <c r="AJ83" i="19"/>
  <c r="AJ7" i="19"/>
  <c r="AL88" i="19"/>
  <c r="AJ73" i="19"/>
  <c r="AJ81" i="19"/>
  <c r="AL62" i="19"/>
  <c r="AK53" i="19"/>
  <c r="AK38" i="19"/>
  <c r="AL20" i="19"/>
  <c r="AJ48" i="19"/>
  <c r="AK82" i="19"/>
  <c r="AL21" i="19"/>
  <c r="AK64" i="19"/>
  <c r="AK50" i="19"/>
  <c r="AL67" i="19"/>
  <c r="AJ10" i="19"/>
  <c r="AJ8" i="19"/>
  <c r="AL79" i="19"/>
  <c r="AK80" i="19"/>
  <c r="AJ39" i="19"/>
  <c r="AL78" i="19"/>
  <c r="AK74" i="19"/>
  <c r="AJ54" i="19"/>
  <c r="AK55" i="19"/>
  <c r="AL84" i="19"/>
  <c r="AK57" i="19"/>
  <c r="AL59" i="19"/>
  <c r="AK45" i="19"/>
  <c r="AL23" i="19"/>
  <c r="AJ42" i="19"/>
  <c r="AJ31" i="19"/>
  <c r="AL65" i="19"/>
  <c r="AL12" i="19"/>
  <c r="AK7" i="19"/>
  <c r="AK88" i="19"/>
  <c r="AL44" i="19"/>
  <c r="AK81" i="19"/>
  <c r="AK62" i="19"/>
  <c r="AL30" i="19"/>
  <c r="AJ38" i="19"/>
  <c r="AJ20" i="19"/>
  <c r="AL40" i="19"/>
  <c r="AJ82" i="19"/>
  <c r="AJ21" i="19"/>
  <c r="AL51" i="19"/>
  <c r="AJ50" i="19"/>
  <c r="AJ67" i="19"/>
  <c r="AL56" i="19"/>
  <c r="AK8" i="19"/>
  <c r="AK79" i="19"/>
  <c r="AL68" i="19"/>
  <c r="AK39" i="19"/>
  <c r="AJ78" i="19"/>
  <c r="AL29" i="19"/>
  <c r="AN29" i="19" s="1"/>
  <c r="AK90" i="19" l="1"/>
  <c r="AJ90" i="19"/>
  <c r="AR29" i="19"/>
  <c r="AS29" i="19" s="1"/>
  <c r="AQ29" i="19"/>
  <c r="AO29" i="19"/>
  <c r="AP29" i="19"/>
  <c r="AL90" i="19"/>
  <c r="AR36" i="19"/>
  <c r="AS36" i="19" s="1"/>
  <c r="AO36" i="19"/>
  <c r="AQ36" i="19"/>
  <c r="AP36" i="19"/>
  <c r="AR35" i="19"/>
  <c r="AS35" i="19" s="1"/>
  <c r="AO35" i="19"/>
  <c r="AQ35" i="19"/>
  <c r="AP35" i="19"/>
  <c r="AO46" i="19"/>
  <c r="AQ46" i="19"/>
  <c r="AR46" i="19"/>
  <c r="AS46" i="19" s="1"/>
  <c r="AP46" i="19"/>
  <c r="AN3" i="19" l="1"/>
  <c r="AN26" i="19" s="1"/>
  <c r="AN43" i="19"/>
  <c r="AN11" i="19"/>
  <c r="AN80" i="19"/>
  <c r="AN49" i="19"/>
  <c r="AN30" i="19"/>
  <c r="AN33" i="19"/>
  <c r="AN82" i="19"/>
  <c r="AN27" i="19"/>
  <c r="AN47" i="19"/>
  <c r="AN23" i="19"/>
  <c r="AN45" i="19"/>
  <c r="AN72" i="19"/>
  <c r="AN67" i="19"/>
  <c r="AN81" i="19"/>
  <c r="AN18" i="19"/>
  <c r="AN8" i="19"/>
  <c r="AN42" i="19"/>
  <c r="AN10" i="19"/>
  <c r="AN79" i="19"/>
  <c r="AN40" i="19"/>
  <c r="AN69" i="19"/>
  <c r="AN56" i="19"/>
  <c r="AN32" i="19"/>
  <c r="AN25" i="19"/>
  <c r="AN37" i="19"/>
  <c r="AN38" i="19"/>
  <c r="AN21" i="19"/>
  <c r="AN65" i="19"/>
  <c r="AN28" i="19"/>
  <c r="AN12" i="19" l="1"/>
  <c r="AN87" i="19"/>
  <c r="AN48" i="19"/>
  <c r="AR48" i="19" s="1"/>
  <c r="AS48" i="19" s="1"/>
  <c r="AN76" i="19"/>
  <c r="AP76" i="19" s="1"/>
  <c r="AN63" i="19"/>
  <c r="AN53" i="19"/>
  <c r="AN7" i="19"/>
  <c r="AN64" i="19"/>
  <c r="AN84" i="19"/>
  <c r="AN77" i="19"/>
  <c r="AN19" i="19"/>
  <c r="AP19" i="19" s="1"/>
  <c r="AN34" i="19"/>
  <c r="AP34" i="19" s="1"/>
  <c r="AN51" i="19"/>
  <c r="AN15" i="19"/>
  <c r="AN54" i="19"/>
  <c r="AN57" i="19"/>
  <c r="AN75" i="19"/>
  <c r="AN71" i="19"/>
  <c r="AN66" i="19"/>
  <c r="AP66" i="19" s="1"/>
  <c r="AN50" i="19"/>
  <c r="AQ50" i="19" s="1"/>
  <c r="AN22" i="19"/>
  <c r="AN13" i="19"/>
  <c r="AN31" i="19"/>
  <c r="AN14" i="19"/>
  <c r="AN70" i="19"/>
  <c r="AN83" i="19"/>
  <c r="AN85" i="19"/>
  <c r="AP85" i="19" s="1"/>
  <c r="AN73" i="19"/>
  <c r="AP73" i="19" s="1"/>
  <c r="AN58" i="19"/>
  <c r="AN74" i="19"/>
  <c r="AN78" i="19"/>
  <c r="AN59" i="19"/>
  <c r="AN68" i="19"/>
  <c r="AN61" i="19"/>
  <c r="AN88" i="19"/>
  <c r="AP88" i="19" s="1"/>
  <c r="AN16" i="19"/>
  <c r="AP16" i="19" s="1"/>
  <c r="AN55" i="19"/>
  <c r="AN9" i="19"/>
  <c r="AN52" i="19"/>
  <c r="AN6" i="19"/>
  <c r="AN24" i="19"/>
  <c r="AN41" i="19"/>
  <c r="AN60" i="19"/>
  <c r="AP60" i="19" s="1"/>
  <c r="AN62" i="19"/>
  <c r="AP62" i="19" s="1"/>
  <c r="AN44" i="19"/>
  <c r="AN20" i="19"/>
  <c r="AN86" i="19"/>
  <c r="AN39" i="19"/>
  <c r="AN17" i="19"/>
  <c r="AR38" i="19"/>
  <c r="AS38" i="19" s="1"/>
  <c r="AQ38" i="19"/>
  <c r="AO38" i="19"/>
  <c r="AP38" i="19"/>
  <c r="AR67" i="19"/>
  <c r="AS67" i="19" s="1"/>
  <c r="AO67" i="19"/>
  <c r="AQ67" i="19"/>
  <c r="AP67" i="19"/>
  <c r="AR12" i="19"/>
  <c r="AS12" i="19" s="1"/>
  <c r="AQ12" i="19"/>
  <c r="AO12" i="19"/>
  <c r="AP12" i="19"/>
  <c r="AR87" i="19"/>
  <c r="AS87" i="19" s="1"/>
  <c r="AQ87" i="19"/>
  <c r="AO87" i="19"/>
  <c r="AP87" i="19"/>
  <c r="AO48" i="19"/>
  <c r="AQ48" i="19"/>
  <c r="AR63" i="19"/>
  <c r="AS63" i="19" s="1"/>
  <c r="AQ63" i="19"/>
  <c r="AO63" i="19"/>
  <c r="AP63" i="19"/>
  <c r="AR53" i="19"/>
  <c r="AS53" i="19" s="1"/>
  <c r="AO53" i="19"/>
  <c r="AQ53" i="19"/>
  <c r="AP53" i="19"/>
  <c r="AR7" i="19"/>
  <c r="AS7" i="19" s="1"/>
  <c r="AQ7" i="19"/>
  <c r="AO7" i="19"/>
  <c r="AP7" i="19"/>
  <c r="AR64" i="19"/>
  <c r="AS64" i="19" s="1"/>
  <c r="AO64" i="19"/>
  <c r="AQ64" i="19"/>
  <c r="AP64" i="19"/>
  <c r="AR84" i="19"/>
  <c r="AS84" i="19" s="1"/>
  <c r="AQ84" i="19"/>
  <c r="AO84" i="19"/>
  <c r="AP84" i="19"/>
  <c r="AR77" i="19"/>
  <c r="AS77" i="19" s="1"/>
  <c r="AQ77" i="19"/>
  <c r="AO77" i="19"/>
  <c r="AP77" i="19"/>
  <c r="AR56" i="19"/>
  <c r="AS56" i="19" s="1"/>
  <c r="AO56" i="19"/>
  <c r="AQ56" i="19"/>
  <c r="AP56" i="19"/>
  <c r="AO79" i="19"/>
  <c r="AQ79" i="19"/>
  <c r="AR79" i="19"/>
  <c r="AS79" i="19" s="1"/>
  <c r="AP79" i="19"/>
  <c r="AR37" i="19"/>
  <c r="AS37" i="19" s="1"/>
  <c r="AO37" i="19"/>
  <c r="AQ37" i="19"/>
  <c r="AP37" i="19"/>
  <c r="AR69" i="19"/>
  <c r="AS69" i="19" s="1"/>
  <c r="AO69" i="19"/>
  <c r="AQ69" i="19"/>
  <c r="AP69" i="19"/>
  <c r="AR10" i="19"/>
  <c r="AS10" i="19" s="1"/>
  <c r="AO10" i="19"/>
  <c r="AQ10" i="19"/>
  <c r="AP10" i="19"/>
  <c r="AR18" i="19"/>
  <c r="AS18" i="19" s="1"/>
  <c r="AO18" i="19"/>
  <c r="AQ18" i="19"/>
  <c r="AP18" i="19"/>
  <c r="AR72" i="19"/>
  <c r="AS72" i="19" s="1"/>
  <c r="AQ72" i="19"/>
  <c r="AO72" i="19"/>
  <c r="AP72" i="19"/>
  <c r="AR47" i="19"/>
  <c r="AS47" i="19" s="1"/>
  <c r="AQ47" i="19"/>
  <c r="AO47" i="19"/>
  <c r="AP47" i="19"/>
  <c r="AR33" i="19"/>
  <c r="AS33" i="19" s="1"/>
  <c r="AQ33" i="19"/>
  <c r="AO33" i="19"/>
  <c r="AP33" i="19"/>
  <c r="AQ80" i="19"/>
  <c r="AO80" i="19"/>
  <c r="AR80" i="19"/>
  <c r="AS80" i="19" s="1"/>
  <c r="AP80" i="19"/>
  <c r="AR43" i="19"/>
  <c r="AS43" i="19" s="1"/>
  <c r="AO43" i="19"/>
  <c r="AQ43" i="19"/>
  <c r="AP43" i="19"/>
  <c r="AR8" i="19"/>
  <c r="AS8" i="19" s="1"/>
  <c r="AQ8" i="19"/>
  <c r="AO8" i="19"/>
  <c r="AP8" i="19"/>
  <c r="AO65" i="19"/>
  <c r="AR65" i="19"/>
  <c r="AS65" i="19" s="1"/>
  <c r="AQ65" i="19"/>
  <c r="AP65" i="19"/>
  <c r="AQ40" i="19"/>
  <c r="AO40" i="19"/>
  <c r="AR40" i="19"/>
  <c r="AS40" i="19" s="1"/>
  <c r="AP40" i="19"/>
  <c r="AQ42" i="19"/>
  <c r="AO42" i="19"/>
  <c r="AR42" i="19"/>
  <c r="AS42" i="19" s="1"/>
  <c r="AP42" i="19"/>
  <c r="AR81" i="19"/>
  <c r="AS81" i="19" s="1"/>
  <c r="AQ81" i="19"/>
  <c r="AO81" i="19"/>
  <c r="AP81" i="19"/>
  <c r="AR45" i="19"/>
  <c r="AS45" i="19" s="1"/>
  <c r="AQ45" i="19"/>
  <c r="AO45" i="19"/>
  <c r="AP45" i="19"/>
  <c r="AQ27" i="19"/>
  <c r="AO27" i="19"/>
  <c r="AR27" i="19"/>
  <c r="AS27" i="19" s="1"/>
  <c r="AP27" i="19"/>
  <c r="AR30" i="19"/>
  <c r="AS30" i="19" s="1"/>
  <c r="AO30" i="19"/>
  <c r="AQ30" i="19"/>
  <c r="AP30" i="19"/>
  <c r="AR34" i="19"/>
  <c r="AS34" i="19" s="1"/>
  <c r="AO34" i="19"/>
  <c r="AR82" i="19"/>
  <c r="AS82" i="19" s="1"/>
  <c r="AO82" i="19"/>
  <c r="AQ82" i="19"/>
  <c r="AP82" i="19"/>
  <c r="AO51" i="19"/>
  <c r="AQ51" i="19"/>
  <c r="AR51" i="19"/>
  <c r="AS51" i="19" s="1"/>
  <c r="AP51" i="19"/>
  <c r="AR54" i="19"/>
  <c r="AS54" i="19" s="1"/>
  <c r="AQ54" i="19"/>
  <c r="AO54" i="19"/>
  <c r="AP54" i="19"/>
  <c r="AO57" i="19"/>
  <c r="AQ57" i="19"/>
  <c r="AR57" i="19"/>
  <c r="AS57" i="19" s="1"/>
  <c r="AP57" i="19"/>
  <c r="AR75" i="19"/>
  <c r="AS75" i="19" s="1"/>
  <c r="AQ75" i="19"/>
  <c r="AO75" i="19"/>
  <c r="AP75" i="19"/>
  <c r="AO71" i="19"/>
  <c r="AQ71" i="19"/>
  <c r="AR71" i="19"/>
  <c r="AS71" i="19" s="1"/>
  <c r="AP71" i="19"/>
  <c r="AR50" i="19"/>
  <c r="AS50" i="19" s="1"/>
  <c r="AO22" i="19"/>
  <c r="AQ22" i="19"/>
  <c r="AR22" i="19"/>
  <c r="AS22" i="19" s="1"/>
  <c r="AP22" i="19"/>
  <c r="AR13" i="19"/>
  <c r="AS13" i="19" s="1"/>
  <c r="AQ13" i="19"/>
  <c r="AO13" i="19"/>
  <c r="AP13" i="19"/>
  <c r="AO23" i="19"/>
  <c r="AQ23" i="19"/>
  <c r="AR23" i="19"/>
  <c r="AS23" i="19" s="1"/>
  <c r="AP23" i="19"/>
  <c r="AR28" i="19"/>
  <c r="AS28" i="19" s="1"/>
  <c r="AO28" i="19"/>
  <c r="AQ28" i="19"/>
  <c r="AP28" i="19"/>
  <c r="AR25" i="19"/>
  <c r="AS25" i="19" s="1"/>
  <c r="AO25" i="19"/>
  <c r="AQ25" i="19"/>
  <c r="AP25" i="19"/>
  <c r="AQ21" i="19"/>
  <c r="AR21" i="19"/>
  <c r="AS21" i="19" s="1"/>
  <c r="AO21" i="19"/>
  <c r="AP21" i="19"/>
  <c r="AR32" i="19"/>
  <c r="AS32" i="19" s="1"/>
  <c r="AO32" i="19"/>
  <c r="AQ32" i="19"/>
  <c r="AP32" i="19"/>
  <c r="AR31" i="19"/>
  <c r="AS31" i="19" s="1"/>
  <c r="AO31" i="19"/>
  <c r="AQ31" i="19"/>
  <c r="AP31" i="19"/>
  <c r="AR14" i="19"/>
  <c r="AS14" i="19" s="1"/>
  <c r="AO14" i="19"/>
  <c r="AQ14" i="19"/>
  <c r="AP14" i="19"/>
  <c r="AR9" i="19"/>
  <c r="AS9" i="19" s="1"/>
  <c r="AQ9" i="19"/>
  <c r="AO9" i="19"/>
  <c r="AP9" i="19"/>
  <c r="AR70" i="19"/>
  <c r="AS70" i="19" s="1"/>
  <c r="AQ70" i="19"/>
  <c r="AO70" i="19"/>
  <c r="AP70" i="19"/>
  <c r="AR52" i="19"/>
  <c r="AS52" i="19" s="1"/>
  <c r="AQ52" i="19"/>
  <c r="AO52" i="19"/>
  <c r="AP52" i="19"/>
  <c r="AR83" i="19"/>
  <c r="AS83" i="19" s="1"/>
  <c r="AQ83" i="19"/>
  <c r="AO83" i="19"/>
  <c r="AP83" i="19"/>
  <c r="AO6" i="19"/>
  <c r="AR6" i="19"/>
  <c r="AS6" i="19" s="1"/>
  <c r="AQ6" i="19"/>
  <c r="AP6" i="19"/>
  <c r="AQ11" i="19"/>
  <c r="AO11" i="19"/>
  <c r="AR11" i="19"/>
  <c r="AS11" i="19" s="1"/>
  <c r="AP11" i="19"/>
  <c r="AQ58" i="19"/>
  <c r="AO58" i="19"/>
  <c r="AR58" i="19"/>
  <c r="AS58" i="19" s="1"/>
  <c r="AP58" i="19"/>
  <c r="AR74" i="19"/>
  <c r="AS74" i="19" s="1"/>
  <c r="AO74" i="19"/>
  <c r="AQ74" i="19"/>
  <c r="AP74" i="19"/>
  <c r="AR78" i="19"/>
  <c r="AS78" i="19" s="1"/>
  <c r="AQ78" i="19"/>
  <c r="AO78" i="19"/>
  <c r="AP78" i="19"/>
  <c r="AR59" i="19"/>
  <c r="AS59" i="19" s="1"/>
  <c r="AO59" i="19"/>
  <c r="AQ59" i="19"/>
  <c r="AP59" i="19"/>
  <c r="AR68" i="19"/>
  <c r="AS68" i="19" s="1"/>
  <c r="AQ68" i="19"/>
  <c r="AO68" i="19"/>
  <c r="AP68" i="19"/>
  <c r="AR61" i="19"/>
  <c r="AS61" i="19" s="1"/>
  <c r="AQ61" i="19"/>
  <c r="AO61" i="19"/>
  <c r="AP61" i="19"/>
  <c r="AQ88" i="19"/>
  <c r="AO88" i="19"/>
  <c r="AR55" i="19"/>
  <c r="AS55" i="19" s="1"/>
  <c r="AO55" i="19"/>
  <c r="AQ55" i="19"/>
  <c r="AP55" i="19"/>
  <c r="AR49" i="19"/>
  <c r="AS49" i="19" s="1"/>
  <c r="AQ49" i="19"/>
  <c r="AO49" i="19"/>
  <c r="AP49" i="19"/>
  <c r="AQ15" i="19"/>
  <c r="AO15" i="19"/>
  <c r="AR15" i="19"/>
  <c r="AS15" i="19" s="1"/>
  <c r="AP15" i="19"/>
  <c r="AR24" i="19"/>
  <c r="AS24" i="19" s="1"/>
  <c r="AO24" i="19"/>
  <c r="AQ24" i="19"/>
  <c r="AP24" i="19"/>
  <c r="AR41" i="19"/>
  <c r="AS41" i="19" s="1"/>
  <c r="AO41" i="19"/>
  <c r="AQ41" i="19"/>
  <c r="AP41" i="19"/>
  <c r="AQ62" i="19"/>
  <c r="AR44" i="19"/>
  <c r="AS44" i="19" s="1"/>
  <c r="AO44" i="19"/>
  <c r="AQ44" i="19"/>
  <c r="AP44" i="19"/>
  <c r="AR20" i="19"/>
  <c r="AS20" i="19" s="1"/>
  <c r="AQ20" i="19"/>
  <c r="AO20" i="19"/>
  <c r="AP20" i="19"/>
  <c r="AO86" i="19"/>
  <c r="AQ86" i="19"/>
  <c r="AR86" i="19"/>
  <c r="AS86" i="19" s="1"/>
  <c r="AP86" i="19"/>
  <c r="AR39" i="19"/>
  <c r="AS39" i="19" s="1"/>
  <c r="AQ39" i="19"/>
  <c r="AO39" i="19"/>
  <c r="AP39" i="19"/>
  <c r="AQ17" i="19"/>
  <c r="AO17" i="19"/>
  <c r="AR17" i="19"/>
  <c r="AS17" i="19" s="1"/>
  <c r="AP17" i="19"/>
  <c r="AR26" i="19"/>
  <c r="AS26" i="19" s="1"/>
  <c r="AO26" i="19"/>
  <c r="AQ26" i="19"/>
  <c r="AP26" i="19"/>
  <c r="AO62" i="19" l="1"/>
  <c r="AQ60" i="19"/>
  <c r="AQ16" i="19"/>
  <c r="AQ73" i="19"/>
  <c r="AO85" i="19"/>
  <c r="AO66" i="19"/>
  <c r="AO19" i="19"/>
  <c r="AR76" i="19"/>
  <c r="AS76" i="19" s="1"/>
  <c r="AQ34" i="19"/>
  <c r="AR62" i="19"/>
  <c r="AS62" i="19" s="1"/>
  <c r="AR88" i="19"/>
  <c r="AS88" i="19" s="1"/>
  <c r="AO60" i="19"/>
  <c r="AO16" i="19"/>
  <c r="AO73" i="19"/>
  <c r="AQ85" i="19"/>
  <c r="AQ66" i="19"/>
  <c r="AQ19" i="19"/>
  <c r="AO76" i="19"/>
  <c r="AR60" i="19"/>
  <c r="AS60" i="19" s="1"/>
  <c r="AR16" i="19"/>
  <c r="AS16" i="19" s="1"/>
  <c r="AS90" i="19" s="1"/>
  <c r="AT61" i="19" s="1"/>
  <c r="AR73" i="19"/>
  <c r="AS73" i="19" s="1"/>
  <c r="AR85" i="19"/>
  <c r="AS85" i="19" s="1"/>
  <c r="AR66" i="19"/>
  <c r="AS66" i="19" s="1"/>
  <c r="AR19" i="19"/>
  <c r="AS19" i="19" s="1"/>
  <c r="AQ76" i="19"/>
  <c r="AP50" i="19"/>
  <c r="AP48" i="19"/>
  <c r="AO50" i="19"/>
  <c r="AP90" i="19"/>
  <c r="AQ90" i="19"/>
  <c r="AO90" i="19"/>
  <c r="AV75" i="19" l="1"/>
  <c r="AV65" i="19"/>
  <c r="AU78" i="19"/>
  <c r="AV49" i="19"/>
  <c r="AU47" i="19"/>
  <c r="AV62" i="19"/>
  <c r="AT81" i="19"/>
  <c r="AU16" i="19"/>
  <c r="AU39" i="19"/>
  <c r="AU75" i="19"/>
  <c r="AV44" i="19"/>
  <c r="AU12" i="19"/>
  <c r="AU7" i="19"/>
  <c r="AV37" i="19"/>
  <c r="AT72" i="19"/>
  <c r="AU65" i="19"/>
  <c r="AV30" i="19"/>
  <c r="AU51" i="19"/>
  <c r="AT50" i="19"/>
  <c r="AV21" i="19"/>
  <c r="AT9" i="19"/>
  <c r="AV11" i="19"/>
  <c r="AT78" i="19"/>
  <c r="AU55" i="19"/>
  <c r="AV20" i="19"/>
  <c r="AT64" i="19"/>
  <c r="AT49" i="19"/>
  <c r="AV80" i="19"/>
  <c r="AT66" i="19"/>
  <c r="AT24" i="19"/>
  <c r="AV8" i="19"/>
  <c r="AU25" i="19"/>
  <c r="AT87" i="19"/>
  <c r="AV19" i="19"/>
  <c r="AU70" i="19"/>
  <c r="AV16" i="19"/>
  <c r="AU72" i="19"/>
  <c r="AU6" i="19"/>
  <c r="AU64" i="19"/>
  <c r="AT79" i="19"/>
  <c r="AV22" i="19"/>
  <c r="AT16" i="19"/>
  <c r="AV53" i="19"/>
  <c r="AT75" i="19"/>
  <c r="AT44" i="19"/>
  <c r="AV48" i="19"/>
  <c r="AT7" i="19"/>
  <c r="AT37" i="19"/>
  <c r="AV33" i="19"/>
  <c r="AT65" i="19"/>
  <c r="AU30" i="19"/>
  <c r="AV57" i="19"/>
  <c r="AU50" i="19"/>
  <c r="AU21" i="19"/>
  <c r="AV52" i="19"/>
  <c r="AU11" i="19"/>
  <c r="AV68" i="19"/>
  <c r="AT55" i="19"/>
  <c r="AT20" i="19"/>
  <c r="AV54" i="19"/>
  <c r="AU49" i="19"/>
  <c r="AT80" i="19"/>
  <c r="AV14" i="19"/>
  <c r="AU24" i="19"/>
  <c r="AT8" i="19"/>
  <c r="AV73" i="19"/>
  <c r="AU87" i="19"/>
  <c r="AT19" i="19"/>
  <c r="AV61" i="19"/>
  <c r="AV7" i="19"/>
  <c r="AV50" i="19"/>
  <c r="AV55" i="19"/>
  <c r="AU18" i="19"/>
  <c r="AT25" i="19"/>
  <c r="AT62" i="19"/>
  <c r="AU22" i="19"/>
  <c r="AV17" i="19"/>
  <c r="AT53" i="19"/>
  <c r="AV32" i="19"/>
  <c r="AU44" i="19"/>
  <c r="AU48" i="19"/>
  <c r="AV84" i="19"/>
  <c r="AU37" i="19"/>
  <c r="AT33" i="19"/>
  <c r="AV42" i="19"/>
  <c r="AT30" i="19"/>
  <c r="AU57" i="19"/>
  <c r="AV13" i="19"/>
  <c r="AT21" i="19"/>
  <c r="AT52" i="19"/>
  <c r="AT11" i="19"/>
  <c r="AT68" i="19"/>
  <c r="AV15" i="19"/>
  <c r="AU20" i="19"/>
  <c r="AU54" i="19"/>
  <c r="AV77" i="19"/>
  <c r="AU80" i="19"/>
  <c r="AU14" i="19"/>
  <c r="AV67" i="19"/>
  <c r="AU8" i="19"/>
  <c r="AT73" i="19"/>
  <c r="AV69" i="19"/>
  <c r="AU19" i="19"/>
  <c r="AU61" i="19"/>
  <c r="AT39" i="19"/>
  <c r="AU9" i="19"/>
  <c r="AT70" i="19"/>
  <c r="AT22" i="19"/>
  <c r="AU53" i="19"/>
  <c r="AV38" i="19"/>
  <c r="AT48" i="19"/>
  <c r="AU84" i="19"/>
  <c r="AV10" i="19"/>
  <c r="AU33" i="19"/>
  <c r="AT42" i="19"/>
  <c r="AV34" i="19"/>
  <c r="AT57" i="19"/>
  <c r="AT13" i="19"/>
  <c r="AV31" i="19"/>
  <c r="AU52" i="19"/>
  <c r="AV58" i="19"/>
  <c r="AU68" i="19"/>
  <c r="AU15" i="19"/>
  <c r="AV26" i="19"/>
  <c r="AT54" i="19"/>
  <c r="AT77" i="19"/>
  <c r="AV27" i="19"/>
  <c r="AT14" i="19"/>
  <c r="AU67" i="19"/>
  <c r="AV82" i="19"/>
  <c r="AU73" i="19"/>
  <c r="AU69" i="19"/>
  <c r="AV23" i="19"/>
  <c r="AT89" i="19"/>
  <c r="AU89" i="19"/>
  <c r="AV89" i="19"/>
  <c r="AT35" i="19"/>
  <c r="AU46" i="19"/>
  <c r="AU29" i="19"/>
  <c r="AV35" i="19"/>
  <c r="AT46" i="19"/>
  <c r="AU36" i="19"/>
  <c r="AV36" i="19"/>
  <c r="AT29" i="19"/>
  <c r="AT36" i="19"/>
  <c r="AV46" i="19"/>
  <c r="AV29" i="19"/>
  <c r="AU35" i="19"/>
  <c r="AT12" i="19"/>
  <c r="AT51" i="19"/>
  <c r="AT41" i="19"/>
  <c r="AV87" i="19"/>
  <c r="AU62" i="19"/>
  <c r="AV76" i="19"/>
  <c r="AU17" i="19"/>
  <c r="AU32" i="19"/>
  <c r="AU76" i="19"/>
  <c r="AV83" i="19"/>
  <c r="AT17" i="19"/>
  <c r="AV40" i="19"/>
  <c r="AT32" i="19"/>
  <c r="AT38" i="19"/>
  <c r="AV63" i="19"/>
  <c r="AT84" i="19"/>
  <c r="AT10" i="19"/>
  <c r="AV43" i="19"/>
  <c r="AU42" i="19"/>
  <c r="AU34" i="19"/>
  <c r="AV71" i="19"/>
  <c r="AU13" i="19"/>
  <c r="AU31" i="19"/>
  <c r="AV6" i="19"/>
  <c r="AT58" i="19"/>
  <c r="AV88" i="19"/>
  <c r="AT15" i="19"/>
  <c r="AU26" i="19"/>
  <c r="AV85" i="19"/>
  <c r="AU77" i="19"/>
  <c r="AT27" i="19"/>
  <c r="AV74" i="19"/>
  <c r="AT67" i="19"/>
  <c r="AT82" i="19"/>
  <c r="AV86" i="19"/>
  <c r="AT69" i="19"/>
  <c r="AU23" i="19"/>
  <c r="AV60" i="19"/>
  <c r="AT59" i="19"/>
  <c r="AU45" i="19"/>
  <c r="AU66" i="19"/>
  <c r="AU40" i="19"/>
  <c r="AV59" i="19"/>
  <c r="AU38" i="19"/>
  <c r="AT63" i="19"/>
  <c r="AV56" i="19"/>
  <c r="AU10" i="19"/>
  <c r="AT43" i="19"/>
  <c r="AV45" i="19"/>
  <c r="AT34" i="19"/>
  <c r="AT71" i="19"/>
  <c r="AV28" i="19"/>
  <c r="AT31" i="19"/>
  <c r="AU58" i="19"/>
  <c r="AT88" i="19"/>
  <c r="AV41" i="19"/>
  <c r="AT26" i="19"/>
  <c r="AT85" i="19"/>
  <c r="AV18" i="19"/>
  <c r="AU27" i="19"/>
  <c r="AU74" i="19"/>
  <c r="AV79" i="19"/>
  <c r="AU82" i="19"/>
  <c r="AU86" i="19"/>
  <c r="AV47" i="19"/>
  <c r="AT23" i="19"/>
  <c r="AT60" i="19"/>
  <c r="AU81" i="19"/>
  <c r="AU56" i="19"/>
  <c r="AT28" i="19"/>
  <c r="AV24" i="19"/>
  <c r="AT76" i="19"/>
  <c r="AT83" i="19"/>
  <c r="AV81" i="19"/>
  <c r="AU83" i="19"/>
  <c r="AV39" i="19"/>
  <c r="AT40" i="19"/>
  <c r="AU59" i="19"/>
  <c r="AV12" i="19"/>
  <c r="AU63" i="19"/>
  <c r="AT56" i="19"/>
  <c r="AV72" i="19"/>
  <c r="AU43" i="19"/>
  <c r="AT45" i="19"/>
  <c r="AV51" i="19"/>
  <c r="AU71" i="19"/>
  <c r="AU28" i="19"/>
  <c r="AV9" i="19"/>
  <c r="AT6" i="19"/>
  <c r="AV78" i="19"/>
  <c r="AU88" i="19"/>
  <c r="AU41" i="19"/>
  <c r="AV64" i="19"/>
  <c r="AU85" i="19"/>
  <c r="AT18" i="19"/>
  <c r="AV66" i="19"/>
  <c r="AT74" i="19"/>
  <c r="AU79" i="19"/>
  <c r="AV25" i="19"/>
  <c r="AT86" i="19"/>
  <c r="AT47" i="19"/>
  <c r="AV70" i="19"/>
  <c r="AU60" i="19"/>
  <c r="AW25" i="19" l="1"/>
  <c r="AW18" i="19"/>
  <c r="AW59" i="19"/>
  <c r="AW86" i="19"/>
  <c r="AW36" i="19"/>
  <c r="AY36" i="19"/>
  <c r="AW27" i="19"/>
  <c r="AW31" i="19"/>
  <c r="AW32" i="19"/>
  <c r="AW50" i="19"/>
  <c r="AW14" i="19"/>
  <c r="AW52" i="19"/>
  <c r="AY52" i="19"/>
  <c r="AW8" i="19"/>
  <c r="AW28" i="19"/>
  <c r="AW13" i="19"/>
  <c r="AW78" i="19"/>
  <c r="AW72" i="19"/>
  <c r="AY72" i="19"/>
  <c r="AW81" i="19"/>
  <c r="AY81" i="19"/>
  <c r="AW88" i="19"/>
  <c r="AW43" i="19"/>
  <c r="AW83" i="19"/>
  <c r="AW38" i="19"/>
  <c r="AW69" i="19"/>
  <c r="AY69" i="19"/>
  <c r="AW7" i="19"/>
  <c r="AW48" i="19"/>
  <c r="AU90" i="19"/>
  <c r="AW11" i="19"/>
  <c r="AW37" i="19"/>
  <c r="AW62" i="19"/>
  <c r="AY62" i="19"/>
  <c r="AW55" i="19"/>
  <c r="AW47" i="19"/>
  <c r="AW45" i="19"/>
  <c r="AY45" i="19"/>
  <c r="AW23" i="19"/>
  <c r="AW15" i="19"/>
  <c r="AW42" i="19"/>
  <c r="AW17" i="19"/>
  <c r="AW61" i="19"/>
  <c r="AY61" i="19"/>
  <c r="AW39" i="19"/>
  <c r="AT90" i="19"/>
  <c r="AW66" i="19"/>
  <c r="AW9" i="19"/>
  <c r="AY9" i="19"/>
  <c r="AW41" i="19"/>
  <c r="AW74" i="19"/>
  <c r="AW6" i="19"/>
  <c r="AV90" i="19"/>
  <c r="AW35" i="19"/>
  <c r="AY35" i="19"/>
  <c r="AW26" i="19"/>
  <c r="AW34" i="19"/>
  <c r="AY34" i="19"/>
  <c r="AW54" i="19"/>
  <c r="AW57" i="19"/>
  <c r="AW16" i="19"/>
  <c r="AW80" i="19"/>
  <c r="AW21" i="19"/>
  <c r="AW49" i="19"/>
  <c r="AW89" i="19"/>
  <c r="AY89" i="19"/>
  <c r="AW77" i="19"/>
  <c r="AW12" i="19"/>
  <c r="AW24" i="19"/>
  <c r="AW63" i="19"/>
  <c r="AY63" i="19"/>
  <c r="AW29" i="19"/>
  <c r="AY29" i="19"/>
  <c r="AW67" i="19"/>
  <c r="AY67" i="19"/>
  <c r="AW53" i="19"/>
  <c r="AW44" i="19"/>
  <c r="AW40" i="19"/>
  <c r="AY40" i="19"/>
  <c r="AW79" i="19"/>
  <c r="AW56" i="19"/>
  <c r="AY56" i="19"/>
  <c r="AW60" i="19"/>
  <c r="AW76" i="19"/>
  <c r="AW46" i="19"/>
  <c r="AY46" i="19"/>
  <c r="AW82" i="19"/>
  <c r="AY82" i="19"/>
  <c r="AW84" i="19"/>
  <c r="AY84" i="19"/>
  <c r="AW73" i="19"/>
  <c r="AY73" i="19"/>
  <c r="AW19" i="19"/>
  <c r="AW65" i="19"/>
  <c r="AY65" i="19"/>
  <c r="AW87" i="19"/>
  <c r="AW70" i="19"/>
  <c r="AY70" i="19"/>
  <c r="AW64" i="19"/>
  <c r="AW51" i="19"/>
  <c r="AW85" i="19"/>
  <c r="AY85" i="19"/>
  <c r="AW71" i="19"/>
  <c r="AW58" i="19"/>
  <c r="AY58" i="19"/>
  <c r="AW10" i="19"/>
  <c r="AY10" i="19"/>
  <c r="AW68" i="19"/>
  <c r="AY68" i="19"/>
  <c r="AW33" i="19"/>
  <c r="AY33" i="19"/>
  <c r="AW22" i="19"/>
  <c r="AY22" i="19"/>
  <c r="AW20" i="19"/>
  <c r="AY20" i="19"/>
  <c r="AW30" i="19"/>
  <c r="AW75" i="19"/>
  <c r="AY75" i="19"/>
  <c r="AZ20" i="19" l="1"/>
  <c r="BB20" i="19"/>
  <c r="BC20" i="19"/>
  <c r="BD20" i="19" s="1"/>
  <c r="BA20" i="19"/>
  <c r="BC10" i="19"/>
  <c r="BD10" i="19" s="1"/>
  <c r="AZ10" i="19"/>
  <c r="BB10" i="19"/>
  <c r="BA10" i="19"/>
  <c r="BC65" i="19"/>
  <c r="BD65" i="19" s="1"/>
  <c r="BB65" i="19"/>
  <c r="AZ65" i="19"/>
  <c r="BA65" i="19"/>
  <c r="BC82" i="19"/>
  <c r="BD82" i="19" s="1"/>
  <c r="AZ82" i="19"/>
  <c r="BB82" i="19"/>
  <c r="BA82" i="19"/>
  <c r="BC56" i="19"/>
  <c r="BD56" i="19" s="1"/>
  <c r="AZ56" i="19"/>
  <c r="BB56" i="19"/>
  <c r="BA56" i="19"/>
  <c r="AZ35" i="19"/>
  <c r="BC35" i="19"/>
  <c r="BD35" i="19" s="1"/>
  <c r="BB35" i="19"/>
  <c r="BA35" i="19"/>
  <c r="BC61" i="19"/>
  <c r="BD61" i="19" s="1"/>
  <c r="AZ61" i="19"/>
  <c r="BB61" i="19"/>
  <c r="BA61" i="19"/>
  <c r="AZ62" i="19"/>
  <c r="BB62" i="19"/>
  <c r="BC62" i="19"/>
  <c r="BD62" i="19" s="1"/>
  <c r="BA62" i="19"/>
  <c r="BC9" i="19"/>
  <c r="BD9" i="19" s="1"/>
  <c r="AZ9" i="19"/>
  <c r="BB9" i="19"/>
  <c r="BA9" i="19"/>
  <c r="BC52" i="19"/>
  <c r="BD52" i="19" s="1"/>
  <c r="AZ52" i="19"/>
  <c r="BB52" i="19"/>
  <c r="BA52" i="19"/>
  <c r="BB22" i="19"/>
  <c r="AZ22" i="19"/>
  <c r="BC22" i="19"/>
  <c r="BD22" i="19" s="1"/>
  <c r="BA22" i="19"/>
  <c r="AZ58" i="19"/>
  <c r="BC58" i="19"/>
  <c r="BD58" i="19" s="1"/>
  <c r="BB58" i="19"/>
  <c r="BA58" i="19"/>
  <c r="BC46" i="19"/>
  <c r="BD46" i="19" s="1"/>
  <c r="AZ46" i="19"/>
  <c r="BB46" i="19"/>
  <c r="BA46" i="19"/>
  <c r="BC67" i="19"/>
  <c r="BD67" i="19" s="1"/>
  <c r="BB67" i="19"/>
  <c r="AZ67" i="19"/>
  <c r="BA67" i="19"/>
  <c r="BC45" i="19"/>
  <c r="BD45" i="19" s="1"/>
  <c r="BB45" i="19"/>
  <c r="AZ45" i="19"/>
  <c r="BA45" i="19"/>
  <c r="BC69" i="19"/>
  <c r="BD69" i="19" s="1"/>
  <c r="AZ69" i="19"/>
  <c r="BA69" i="19"/>
  <c r="BB69" i="19"/>
  <c r="BC75" i="19"/>
  <c r="BD75" i="19" s="1"/>
  <c r="BB75" i="19"/>
  <c r="AZ75" i="19"/>
  <c r="BA75" i="19"/>
  <c r="AZ33" i="19"/>
  <c r="BB33" i="19"/>
  <c r="BC33" i="19"/>
  <c r="BD33" i="19" s="1"/>
  <c r="BA33" i="19"/>
  <c r="BC70" i="19"/>
  <c r="BD70" i="19" s="1"/>
  <c r="AZ70" i="19"/>
  <c r="BB70" i="19"/>
  <c r="BA70" i="19"/>
  <c r="BC73" i="19"/>
  <c r="BD73" i="19" s="1"/>
  <c r="AZ73" i="19"/>
  <c r="BB73" i="19"/>
  <c r="BA73" i="19"/>
  <c r="BC40" i="19"/>
  <c r="BD40" i="19" s="1"/>
  <c r="AZ40" i="19"/>
  <c r="BB40" i="19"/>
  <c r="BA40" i="19"/>
  <c r="BC29" i="19"/>
  <c r="BD29" i="19" s="1"/>
  <c r="BB29" i="19"/>
  <c r="AZ29" i="19"/>
  <c r="BA29" i="19"/>
  <c r="BC34" i="19"/>
  <c r="BD34" i="19" s="1"/>
  <c r="AZ34" i="19"/>
  <c r="BB34" i="19"/>
  <c r="BA34" i="19"/>
  <c r="AW90" i="19"/>
  <c r="AW91" i="19" s="1"/>
  <c r="BC72" i="19"/>
  <c r="BD72" i="19" s="1"/>
  <c r="AZ72" i="19"/>
  <c r="BB72" i="19"/>
  <c r="BA72" i="19"/>
  <c r="BB81" i="19"/>
  <c r="AZ81" i="19"/>
  <c r="BC81" i="19"/>
  <c r="BD81" i="19" s="1"/>
  <c r="BA81" i="19"/>
  <c r="BC36" i="19"/>
  <c r="BD36" i="19" s="1"/>
  <c r="AZ36" i="19"/>
  <c r="BB36" i="19"/>
  <c r="BA36" i="19"/>
  <c r="BC68" i="19"/>
  <c r="BD68" i="19" s="1"/>
  <c r="AZ68" i="19"/>
  <c r="BB68" i="19"/>
  <c r="BA68" i="19"/>
  <c r="BC85" i="19"/>
  <c r="BD85" i="19" s="1"/>
  <c r="AZ85" i="19"/>
  <c r="BB85" i="19"/>
  <c r="BA85" i="19"/>
  <c r="AZ84" i="19"/>
  <c r="BB84" i="19"/>
  <c r="BC84" i="19"/>
  <c r="BD84" i="19" s="1"/>
  <c r="BA84" i="19"/>
  <c r="BC63" i="19"/>
  <c r="BD63" i="19" s="1"/>
  <c r="BB63" i="19"/>
  <c r="AZ63" i="19"/>
  <c r="BA63" i="19"/>
  <c r="BC89" i="19"/>
  <c r="BD89" i="19" s="1"/>
  <c r="AZ89" i="19"/>
  <c r="BB89" i="19"/>
  <c r="BA89" i="19"/>
  <c r="AY3" i="19"/>
  <c r="AY55" i="19" l="1"/>
  <c r="AY15" i="19"/>
  <c r="AY39" i="19"/>
  <c r="AY26" i="19"/>
  <c r="AY16" i="19"/>
  <c r="AY44" i="19"/>
  <c r="AY60" i="19"/>
  <c r="AY87" i="19"/>
  <c r="AY30" i="19"/>
  <c r="AY83" i="19"/>
  <c r="AY41" i="19"/>
  <c r="AY25" i="19"/>
  <c r="AY50" i="19"/>
  <c r="AY28" i="19"/>
  <c r="AY38" i="19"/>
  <c r="AY74" i="19"/>
  <c r="AY11" i="19"/>
  <c r="AY47" i="19"/>
  <c r="AY42" i="19"/>
  <c r="AY80" i="19"/>
  <c r="AY77" i="19"/>
  <c r="AY76" i="19"/>
  <c r="AY71" i="19"/>
  <c r="AY18" i="19"/>
  <c r="AY27" i="19"/>
  <c r="AY14" i="19"/>
  <c r="AY13" i="19"/>
  <c r="AY88" i="19"/>
  <c r="AY66" i="19"/>
  <c r="AY48" i="19"/>
  <c r="AY37" i="19"/>
  <c r="AY17" i="19"/>
  <c r="AY6" i="19"/>
  <c r="AY54" i="19"/>
  <c r="AY21" i="19"/>
  <c r="AY12" i="19"/>
  <c r="AY79" i="19"/>
  <c r="AY19" i="19"/>
  <c r="AY64" i="19"/>
  <c r="AY8" i="19"/>
  <c r="AY59" i="19"/>
  <c r="AY31" i="19"/>
  <c r="AY78" i="19"/>
  <c r="AY43" i="19"/>
  <c r="AY7" i="19"/>
  <c r="AY86" i="19"/>
  <c r="AY23" i="19"/>
  <c r="AY57" i="19"/>
  <c r="AY49" i="19"/>
  <c r="AY24" i="19"/>
  <c r="AY53" i="19"/>
  <c r="AY51" i="19"/>
  <c r="AY32" i="19"/>
  <c r="BB23" i="19" l="1"/>
  <c r="AZ23" i="19"/>
  <c r="BC23" i="19"/>
  <c r="BD23" i="19" s="1"/>
  <c r="BA23" i="19"/>
  <c r="BC64" i="19"/>
  <c r="BD64" i="19" s="1"/>
  <c r="AZ64" i="19"/>
  <c r="BB64" i="19"/>
  <c r="BA64" i="19"/>
  <c r="BC37" i="19"/>
  <c r="BD37" i="19" s="1"/>
  <c r="BB37" i="19"/>
  <c r="AZ37" i="19"/>
  <c r="BA37" i="19"/>
  <c r="BC71" i="19"/>
  <c r="BD71" i="19" s="1"/>
  <c r="BB71" i="19"/>
  <c r="AZ71" i="19"/>
  <c r="BA71" i="19"/>
  <c r="BC38" i="19"/>
  <c r="BD38" i="19" s="1"/>
  <c r="AZ38" i="19"/>
  <c r="BB38" i="19"/>
  <c r="BA38" i="19"/>
  <c r="BB60" i="19"/>
  <c r="BC60" i="19"/>
  <c r="BD60" i="19" s="1"/>
  <c r="AZ60" i="19"/>
  <c r="BA60" i="19"/>
  <c r="BC8" i="19"/>
  <c r="BD8" i="19" s="1"/>
  <c r="BB8" i="19"/>
  <c r="AZ8" i="19"/>
  <c r="BA8" i="19"/>
  <c r="AZ74" i="19"/>
  <c r="BC74" i="19"/>
  <c r="BD74" i="19" s="1"/>
  <c r="BB74" i="19"/>
  <c r="BA74" i="19"/>
  <c r="BC86" i="19"/>
  <c r="BD86" i="19" s="1"/>
  <c r="BB86" i="19"/>
  <c r="AZ86" i="19"/>
  <c r="BA86" i="19"/>
  <c r="BC19" i="19"/>
  <c r="BD19" i="19" s="1"/>
  <c r="AZ19" i="19"/>
  <c r="BB19" i="19"/>
  <c r="BA19" i="19"/>
  <c r="AZ48" i="19"/>
  <c r="BB48" i="19"/>
  <c r="BC48" i="19"/>
  <c r="BD48" i="19" s="1"/>
  <c r="BA48" i="19"/>
  <c r="AZ76" i="19"/>
  <c r="BC76" i="19"/>
  <c r="BD76" i="19" s="1"/>
  <c r="BB76" i="19"/>
  <c r="BA76" i="19"/>
  <c r="AZ28" i="19"/>
  <c r="BB28" i="19"/>
  <c r="BC28" i="19"/>
  <c r="BD28" i="19" s="1"/>
  <c r="BA28" i="19"/>
  <c r="BB44" i="19"/>
  <c r="BC44" i="19"/>
  <c r="BD44" i="19" s="1"/>
  <c r="AZ44" i="19"/>
  <c r="BA44" i="19"/>
  <c r="BC32" i="19"/>
  <c r="BD32" i="19" s="1"/>
  <c r="BB32" i="19"/>
  <c r="AZ32" i="19"/>
  <c r="BA32" i="19"/>
  <c r="BC7" i="19"/>
  <c r="BD7" i="19" s="1"/>
  <c r="BB7" i="19"/>
  <c r="AZ7" i="19"/>
  <c r="BA7" i="19"/>
  <c r="BC79" i="19"/>
  <c r="BD79" i="19" s="1"/>
  <c r="BB79" i="19"/>
  <c r="AZ79" i="19"/>
  <c r="BA79" i="19"/>
  <c r="BC66" i="19"/>
  <c r="BD66" i="19" s="1"/>
  <c r="BB66" i="19"/>
  <c r="AZ66" i="19"/>
  <c r="BA66" i="19"/>
  <c r="BC77" i="19"/>
  <c r="BD77" i="19" s="1"/>
  <c r="AZ77" i="19"/>
  <c r="BB77" i="19"/>
  <c r="BA77" i="19"/>
  <c r="BC50" i="19"/>
  <c r="BD50" i="19" s="1"/>
  <c r="AZ50" i="19"/>
  <c r="BB50" i="19"/>
  <c r="BA50" i="19"/>
  <c r="BB16" i="19"/>
  <c r="BC16" i="19"/>
  <c r="BD16" i="19" s="1"/>
  <c r="AZ16" i="19"/>
  <c r="BA16" i="19"/>
  <c r="BC17" i="19"/>
  <c r="BD17" i="19" s="1"/>
  <c r="AZ17" i="19"/>
  <c r="BB17" i="19"/>
  <c r="BA17" i="19"/>
  <c r="AZ51" i="19"/>
  <c r="BC51" i="19"/>
  <c r="BD51" i="19" s="1"/>
  <c r="BB51" i="19"/>
  <c r="BA51" i="19"/>
  <c r="BC43" i="19"/>
  <c r="BD43" i="19" s="1"/>
  <c r="BB43" i="19"/>
  <c r="AZ43" i="19"/>
  <c r="BA43" i="19"/>
  <c r="BC12" i="19"/>
  <c r="BD12" i="19" s="1"/>
  <c r="AZ12" i="19"/>
  <c r="BB12" i="19"/>
  <c r="BA12" i="19"/>
  <c r="BC88" i="19"/>
  <c r="BD88" i="19" s="1"/>
  <c r="BB88" i="19"/>
  <c r="AZ88" i="19"/>
  <c r="BA88" i="19"/>
  <c r="BC80" i="19"/>
  <c r="BD80" i="19" s="1"/>
  <c r="AZ80" i="19"/>
  <c r="BB80" i="19"/>
  <c r="BA80" i="19"/>
  <c r="BC25" i="19"/>
  <c r="BD25" i="19" s="1"/>
  <c r="BB25" i="19"/>
  <c r="AZ25" i="19"/>
  <c r="BA25" i="19"/>
  <c r="BC26" i="19"/>
  <c r="BD26" i="19" s="1"/>
  <c r="BB26" i="19"/>
  <c r="AZ26" i="19"/>
  <c r="BA26" i="19"/>
  <c r="AZ53" i="19"/>
  <c r="BB53" i="19"/>
  <c r="BC53" i="19"/>
  <c r="BD53" i="19" s="1"/>
  <c r="BA53" i="19"/>
  <c r="BC78" i="19"/>
  <c r="BD78" i="19" s="1"/>
  <c r="AZ78" i="19"/>
  <c r="BB78" i="19"/>
  <c r="BA78" i="19"/>
  <c r="BC21" i="19"/>
  <c r="BD21" i="19" s="1"/>
  <c r="BB21" i="19"/>
  <c r="AZ21" i="19"/>
  <c r="BA21" i="19"/>
  <c r="BC13" i="19"/>
  <c r="BD13" i="19" s="1"/>
  <c r="AZ13" i="19"/>
  <c r="BB13" i="19"/>
  <c r="BA13" i="19"/>
  <c r="AZ42" i="19"/>
  <c r="BB42" i="19"/>
  <c r="BC42" i="19"/>
  <c r="BD42" i="19" s="1"/>
  <c r="BA42" i="19"/>
  <c r="BC41" i="19"/>
  <c r="BD41" i="19" s="1"/>
  <c r="BB41" i="19"/>
  <c r="AZ41" i="19"/>
  <c r="BA41" i="19"/>
  <c r="BC39" i="19"/>
  <c r="BD39" i="19" s="1"/>
  <c r="AZ39" i="19"/>
  <c r="BB39" i="19"/>
  <c r="BA39" i="19"/>
  <c r="BC87" i="19"/>
  <c r="BD87" i="19" s="1"/>
  <c r="AZ87" i="19"/>
  <c r="BB87" i="19"/>
  <c r="BA87" i="19"/>
  <c r="BC24" i="19"/>
  <c r="BD24" i="19" s="1"/>
  <c r="AZ24" i="19"/>
  <c r="BB24" i="19"/>
  <c r="BA24" i="19"/>
  <c r="BC31" i="19"/>
  <c r="BD31" i="19" s="1"/>
  <c r="AZ31" i="19"/>
  <c r="BB31" i="19"/>
  <c r="BA31" i="19"/>
  <c r="BC54" i="19"/>
  <c r="BD54" i="19" s="1"/>
  <c r="AZ54" i="19"/>
  <c r="BB54" i="19"/>
  <c r="BA54" i="19"/>
  <c r="BC14" i="19"/>
  <c r="BD14" i="19" s="1"/>
  <c r="AZ14" i="19"/>
  <c r="BB14" i="19"/>
  <c r="BA14" i="19"/>
  <c r="BC47" i="19"/>
  <c r="BD47" i="19" s="1"/>
  <c r="BB47" i="19"/>
  <c r="AZ47" i="19"/>
  <c r="BA47" i="19"/>
  <c r="BC83" i="19"/>
  <c r="BD83" i="19" s="1"/>
  <c r="AZ83" i="19"/>
  <c r="BB83" i="19"/>
  <c r="BA83" i="19"/>
  <c r="BB15" i="19"/>
  <c r="AZ15" i="19"/>
  <c r="BC15" i="19"/>
  <c r="BD15" i="19" s="1"/>
  <c r="BA15" i="19"/>
  <c r="BB57" i="19"/>
  <c r="AZ57" i="19"/>
  <c r="BC57" i="19"/>
  <c r="BD57" i="19" s="1"/>
  <c r="BA57" i="19"/>
  <c r="BC18" i="19"/>
  <c r="BD18" i="19" s="1"/>
  <c r="BB18" i="19"/>
  <c r="AZ18" i="19"/>
  <c r="BA18" i="19"/>
  <c r="BB49" i="19"/>
  <c r="AZ49" i="19"/>
  <c r="BC49" i="19"/>
  <c r="BD49" i="19" s="1"/>
  <c r="BA49" i="19"/>
  <c r="BC59" i="19"/>
  <c r="BD59" i="19" s="1"/>
  <c r="BB59" i="19"/>
  <c r="AZ59" i="19"/>
  <c r="BA59" i="19"/>
  <c r="BB6" i="19"/>
  <c r="AZ6" i="19"/>
  <c r="BC6" i="19"/>
  <c r="BD6" i="19" s="1"/>
  <c r="BA6" i="19"/>
  <c r="BC27" i="19"/>
  <c r="BD27" i="19" s="1"/>
  <c r="AZ27" i="19"/>
  <c r="BB27" i="19"/>
  <c r="BA27" i="19"/>
  <c r="AZ11" i="19"/>
  <c r="BC11" i="19"/>
  <c r="BD11" i="19" s="1"/>
  <c r="BB11" i="19"/>
  <c r="BA11" i="19"/>
  <c r="BC30" i="19"/>
  <c r="BD30" i="19" s="1"/>
  <c r="AZ30" i="19"/>
  <c r="BB30" i="19"/>
  <c r="BA30" i="19"/>
  <c r="BB55" i="19"/>
  <c r="AZ55" i="19"/>
  <c r="BC55" i="19"/>
  <c r="BD55" i="19" s="1"/>
  <c r="BA55" i="19"/>
  <c r="BA90" i="19" l="1"/>
  <c r="BD90" i="19"/>
  <c r="BG54" i="19" s="1"/>
  <c r="AZ90" i="19"/>
  <c r="BB90" i="19"/>
  <c r="BF83" i="19" l="1"/>
  <c r="BE38" i="19"/>
  <c r="BG79" i="19"/>
  <c r="BG23" i="19"/>
  <c r="BG6" i="19"/>
  <c r="BF48" i="19"/>
  <c r="BF7" i="19"/>
  <c r="BG19" i="19"/>
  <c r="BH19" i="19" s="1"/>
  <c r="BF74" i="19"/>
  <c r="BG27" i="19"/>
  <c r="BF42" i="19"/>
  <c r="BG13" i="19"/>
  <c r="BG24" i="19"/>
  <c r="BE16" i="19"/>
  <c r="BF80" i="19"/>
  <c r="BF60" i="19"/>
  <c r="BE87" i="19"/>
  <c r="BE76" i="19"/>
  <c r="BH54" i="19"/>
  <c r="BH23" i="19"/>
  <c r="BE44" i="19"/>
  <c r="BE27" i="19"/>
  <c r="BE48" i="19"/>
  <c r="BF79" i="19"/>
  <c r="BG51" i="19"/>
  <c r="BE80" i="19"/>
  <c r="BE13" i="19"/>
  <c r="BG31" i="19"/>
  <c r="BE83" i="19"/>
  <c r="BE74" i="19"/>
  <c r="BE19" i="19"/>
  <c r="BG15" i="19"/>
  <c r="BF44" i="19"/>
  <c r="BE24" i="19"/>
  <c r="BG66" i="19"/>
  <c r="BE53" i="19"/>
  <c r="BF53" i="19"/>
  <c r="BG8" i="19"/>
  <c r="BG25" i="19"/>
  <c r="BF27" i="19"/>
  <c r="BG39" i="19"/>
  <c r="BF23" i="19"/>
  <c r="BE8" i="19"/>
  <c r="BG28" i="19"/>
  <c r="BE79" i="19"/>
  <c r="BF51" i="19"/>
  <c r="BG26" i="19"/>
  <c r="BF13" i="19"/>
  <c r="BE31" i="19"/>
  <c r="BG57" i="19"/>
  <c r="BE6" i="19"/>
  <c r="BG21" i="19"/>
  <c r="BF19" i="19"/>
  <c r="BE15" i="19"/>
  <c r="BG50" i="19"/>
  <c r="BF24" i="19"/>
  <c r="BF66" i="19"/>
  <c r="BF33" i="19"/>
  <c r="BG10" i="19"/>
  <c r="BF82" i="19"/>
  <c r="BE52" i="19"/>
  <c r="BG81" i="19"/>
  <c r="BF70" i="19"/>
  <c r="BF46" i="19"/>
  <c r="BG9" i="19"/>
  <c r="BE65" i="19"/>
  <c r="BF68" i="19"/>
  <c r="BG63" i="19"/>
  <c r="BE72" i="19"/>
  <c r="BF20" i="19"/>
  <c r="BF67" i="19"/>
  <c r="BG67" i="19"/>
  <c r="BF63" i="19"/>
  <c r="BE33" i="19"/>
  <c r="BF69" i="19"/>
  <c r="BG82" i="19"/>
  <c r="BF52" i="19"/>
  <c r="BF34" i="19"/>
  <c r="BG70" i="19"/>
  <c r="BE46" i="19"/>
  <c r="BE61" i="19"/>
  <c r="BG65" i="19"/>
  <c r="BE68" i="19"/>
  <c r="BF85" i="19"/>
  <c r="BG72" i="19"/>
  <c r="BG61" i="19"/>
  <c r="BG20" i="19"/>
  <c r="BF62" i="19"/>
  <c r="BE70" i="19"/>
  <c r="BG33" i="19"/>
  <c r="BE69" i="19"/>
  <c r="BF73" i="19"/>
  <c r="BG52" i="19"/>
  <c r="BE34" i="19"/>
  <c r="BF75" i="19"/>
  <c r="BG46" i="19"/>
  <c r="BF61" i="19"/>
  <c r="BE20" i="19"/>
  <c r="BG68" i="19"/>
  <c r="BE85" i="19"/>
  <c r="BF22" i="19"/>
  <c r="BE67" i="19"/>
  <c r="BF36" i="19"/>
  <c r="BE36" i="19"/>
  <c r="BE82" i="19"/>
  <c r="BF9" i="19"/>
  <c r="BF58" i="19"/>
  <c r="BG69" i="19"/>
  <c r="BE73" i="19"/>
  <c r="BF89" i="19"/>
  <c r="BG34" i="19"/>
  <c r="BE75" i="19"/>
  <c r="BG85" i="19"/>
  <c r="BG36" i="19"/>
  <c r="BG84" i="19"/>
  <c r="BG62" i="19"/>
  <c r="BE58" i="19"/>
  <c r="BF29" i="19"/>
  <c r="BG73" i="19"/>
  <c r="BE89" i="19"/>
  <c r="BF40" i="19"/>
  <c r="BG75" i="19"/>
  <c r="BE22" i="19"/>
  <c r="BF56" i="19"/>
  <c r="BF10" i="19"/>
  <c r="BG45" i="19"/>
  <c r="BG58" i="19"/>
  <c r="BE29" i="19"/>
  <c r="BF35" i="19"/>
  <c r="BE84" i="19"/>
  <c r="BG89" i="19"/>
  <c r="BE40" i="19"/>
  <c r="BE45" i="19"/>
  <c r="BG22" i="19"/>
  <c r="BE56" i="19"/>
  <c r="BF65" i="19"/>
  <c r="BE10" i="19"/>
  <c r="BG29" i="19"/>
  <c r="BE35" i="19"/>
  <c r="BF84" i="19"/>
  <c r="BE81" i="19"/>
  <c r="BG40" i="19"/>
  <c r="BF45" i="19"/>
  <c r="BE9" i="19"/>
  <c r="BG56" i="19"/>
  <c r="BE62" i="19"/>
  <c r="BE63" i="19"/>
  <c r="BG35" i="19"/>
  <c r="BF81" i="19"/>
  <c r="BF72" i="19"/>
  <c r="BF39" i="19"/>
  <c r="BG37" i="19"/>
  <c r="BF8" i="19"/>
  <c r="BF28" i="19"/>
  <c r="BG77" i="19"/>
  <c r="BE51" i="19"/>
  <c r="BF26" i="19"/>
  <c r="BG41" i="19"/>
  <c r="BF31" i="19"/>
  <c r="BE57" i="19"/>
  <c r="BF6" i="19"/>
  <c r="BF21" i="19"/>
  <c r="BG43" i="19"/>
  <c r="BF15" i="19"/>
  <c r="BF50" i="19"/>
  <c r="BG71" i="19"/>
  <c r="BE66" i="19"/>
  <c r="BE54" i="19"/>
  <c r="BH27" i="19"/>
  <c r="BH13" i="19"/>
  <c r="BH24" i="19"/>
  <c r="BE7" i="19"/>
  <c r="BE23" i="19"/>
  <c r="BF25" i="19"/>
  <c r="BG55" i="19"/>
  <c r="BE39" i="19"/>
  <c r="BF37" i="19"/>
  <c r="BG86" i="19"/>
  <c r="BE28" i="19"/>
  <c r="BF77" i="19"/>
  <c r="BG12" i="19"/>
  <c r="BE26" i="19"/>
  <c r="BF41" i="19"/>
  <c r="BG14" i="19"/>
  <c r="BF57" i="19"/>
  <c r="BG11" i="19"/>
  <c r="BE21" i="19"/>
  <c r="BE43" i="19"/>
  <c r="BG64" i="19"/>
  <c r="BE50" i="19"/>
  <c r="BF71" i="19"/>
  <c r="BG17" i="19"/>
  <c r="BF54" i="19"/>
  <c r="BH6" i="19"/>
  <c r="BG47" i="19"/>
  <c r="BF55" i="19"/>
  <c r="BG30" i="19"/>
  <c r="BE37" i="19"/>
  <c r="BF86" i="19"/>
  <c r="BG32" i="19"/>
  <c r="BE77" i="19"/>
  <c r="BE12" i="19"/>
  <c r="BG78" i="19"/>
  <c r="BE41" i="19"/>
  <c r="BE14" i="19"/>
  <c r="BG49" i="19"/>
  <c r="BE11" i="19"/>
  <c r="BG59" i="19"/>
  <c r="BF43" i="19"/>
  <c r="BE64" i="19"/>
  <c r="BG88" i="19"/>
  <c r="BE71" i="19"/>
  <c r="BF17" i="19"/>
  <c r="BG18" i="19"/>
  <c r="BE47" i="19"/>
  <c r="BE55" i="19"/>
  <c r="BF30" i="19"/>
  <c r="BG38" i="19"/>
  <c r="BE86" i="19"/>
  <c r="BF32" i="19"/>
  <c r="BG16" i="19"/>
  <c r="BF12" i="19"/>
  <c r="BF78" i="19"/>
  <c r="BG87" i="19"/>
  <c r="BF14" i="19"/>
  <c r="BF49" i="19"/>
  <c r="BF11" i="19"/>
  <c r="BF59" i="19"/>
  <c r="BG42" i="19"/>
  <c r="BF64" i="19"/>
  <c r="BE88" i="19"/>
  <c r="BG76" i="19"/>
  <c r="BE17" i="19"/>
  <c r="BE18" i="19"/>
  <c r="BH79" i="19"/>
  <c r="BE60" i="19"/>
  <c r="BE25" i="19"/>
  <c r="BG7" i="19"/>
  <c r="BF47" i="19"/>
  <c r="BG60" i="19"/>
  <c r="BE30" i="19"/>
  <c r="BF38" i="19"/>
  <c r="BG48" i="19"/>
  <c r="BE32" i="19"/>
  <c r="BF16" i="19"/>
  <c r="BG80" i="19"/>
  <c r="BE78" i="19"/>
  <c r="BF87" i="19"/>
  <c r="BG83" i="19"/>
  <c r="BE49" i="19"/>
  <c r="BG74" i="19"/>
  <c r="BE59" i="19"/>
  <c r="BE42" i="19"/>
  <c r="BG44" i="19"/>
  <c r="BF88" i="19"/>
  <c r="BF76" i="19"/>
  <c r="BG53" i="19"/>
  <c r="BF18" i="19"/>
  <c r="BG90" i="19" l="1"/>
  <c r="BH76" i="19"/>
  <c r="BH87" i="19"/>
  <c r="BH59" i="19"/>
  <c r="BH32" i="19"/>
  <c r="BH11" i="19"/>
  <c r="BH86" i="19"/>
  <c r="BH52" i="19"/>
  <c r="BJ52" i="19"/>
  <c r="BH72" i="19"/>
  <c r="BJ72" i="19"/>
  <c r="BH71" i="19"/>
  <c r="BH80" i="19"/>
  <c r="BH7" i="19"/>
  <c r="BH35" i="19"/>
  <c r="BJ35" i="19"/>
  <c r="BH62" i="19"/>
  <c r="BJ62" i="19"/>
  <c r="BH69" i="19"/>
  <c r="BJ69" i="19"/>
  <c r="BH82" i="19"/>
  <c r="BJ82" i="19"/>
  <c r="BH63" i="19"/>
  <c r="BJ63" i="19"/>
  <c r="BH21" i="19"/>
  <c r="BH28" i="19"/>
  <c r="BH31" i="19"/>
  <c r="BH40" i="19"/>
  <c r="BJ40" i="19"/>
  <c r="BH81" i="19"/>
  <c r="BJ81" i="19"/>
  <c r="BH44" i="19"/>
  <c r="BH18" i="19"/>
  <c r="BH49" i="19"/>
  <c r="BH17" i="19"/>
  <c r="BH14" i="19"/>
  <c r="BH43" i="19"/>
  <c r="BH77" i="19"/>
  <c r="BH89" i="19"/>
  <c r="BJ89" i="19"/>
  <c r="BH84" i="19"/>
  <c r="BJ84" i="19"/>
  <c r="BH68" i="19"/>
  <c r="BJ68" i="19"/>
  <c r="BH10" i="19"/>
  <c r="BJ10" i="19"/>
  <c r="BE90" i="19"/>
  <c r="BH66" i="19"/>
  <c r="BH42" i="19"/>
  <c r="BH16" i="19"/>
  <c r="BH30" i="19"/>
  <c r="BH55" i="19"/>
  <c r="BH29" i="19"/>
  <c r="BJ29" i="19"/>
  <c r="BH75" i="19"/>
  <c r="BJ75" i="19"/>
  <c r="BH36" i="19"/>
  <c r="BJ36" i="19"/>
  <c r="BH33" i="19"/>
  <c r="BJ33" i="19"/>
  <c r="BH65" i="19"/>
  <c r="BJ65" i="19"/>
  <c r="BH57" i="19"/>
  <c r="BH22" i="19"/>
  <c r="BJ22" i="19"/>
  <c r="BH61" i="19"/>
  <c r="BJ61" i="19"/>
  <c r="BH74" i="19"/>
  <c r="BH48" i="19"/>
  <c r="BF90" i="19"/>
  <c r="BH56" i="19"/>
  <c r="BJ56" i="19"/>
  <c r="BH85" i="19"/>
  <c r="BJ85" i="19"/>
  <c r="BH9" i="19"/>
  <c r="BJ9" i="19"/>
  <c r="BH39" i="19"/>
  <c r="BH51" i="19"/>
  <c r="BH60" i="19"/>
  <c r="BH45" i="19"/>
  <c r="BJ45" i="19"/>
  <c r="BH88" i="19"/>
  <c r="BH78" i="19"/>
  <c r="BH47" i="19"/>
  <c r="BH64" i="19"/>
  <c r="BH12" i="19"/>
  <c r="BH37" i="19"/>
  <c r="BH46" i="19"/>
  <c r="BJ46" i="19"/>
  <c r="BH67" i="19"/>
  <c r="BJ67" i="19"/>
  <c r="BH15" i="19"/>
  <c r="BH41" i="19"/>
  <c r="BH8" i="19"/>
  <c r="BH53" i="19"/>
  <c r="BH83" i="19"/>
  <c r="BH38" i="19"/>
  <c r="BH58" i="19"/>
  <c r="BJ58" i="19"/>
  <c r="BH73" i="19"/>
  <c r="BJ73" i="19"/>
  <c r="BH34" i="19"/>
  <c r="BJ34" i="19"/>
  <c r="BH20" i="19"/>
  <c r="BJ20" i="19"/>
  <c r="BH70" i="19"/>
  <c r="BJ70" i="19"/>
  <c r="BH50" i="19"/>
  <c r="BH26" i="19"/>
  <c r="BH25" i="19"/>
  <c r="BH90" i="19" l="1"/>
  <c r="BH91" i="19" s="1"/>
  <c r="BJ3" i="19"/>
  <c r="BM67" i="19"/>
  <c r="BK67" i="19"/>
  <c r="BN67" i="19"/>
  <c r="BO67" i="19" s="1"/>
  <c r="BL67" i="19"/>
  <c r="BN45" i="19"/>
  <c r="BO45" i="19" s="1"/>
  <c r="BK45" i="19"/>
  <c r="BM45" i="19"/>
  <c r="BL45" i="19"/>
  <c r="BN9" i="19"/>
  <c r="BO9" i="19" s="1"/>
  <c r="BM9" i="19"/>
  <c r="BK9" i="19"/>
  <c r="BL9" i="19"/>
  <c r="BN68" i="19"/>
  <c r="BO68" i="19" s="1"/>
  <c r="BK68" i="19"/>
  <c r="BM68" i="19"/>
  <c r="BL68" i="19"/>
  <c r="BJ43" i="19"/>
  <c r="BJ18" i="19"/>
  <c r="BJ31" i="19"/>
  <c r="BN82" i="19"/>
  <c r="BO82" i="19" s="1"/>
  <c r="BM82" i="19"/>
  <c r="BK82" i="19"/>
  <c r="BL82" i="19"/>
  <c r="BJ7" i="19"/>
  <c r="BN52" i="19"/>
  <c r="BO52" i="19" s="1"/>
  <c r="BM52" i="19"/>
  <c r="BK52" i="19"/>
  <c r="BL52" i="19"/>
  <c r="BN75" i="19"/>
  <c r="BO75" i="19" s="1"/>
  <c r="BM75" i="19"/>
  <c r="BL75" i="19"/>
  <c r="BK75" i="19"/>
  <c r="BN65" i="19"/>
  <c r="BO65" i="19" s="1"/>
  <c r="BK65" i="19"/>
  <c r="BM65" i="19"/>
  <c r="BL65" i="19"/>
  <c r="BN29" i="19"/>
  <c r="BO29" i="19" s="1"/>
  <c r="BM29" i="19"/>
  <c r="BK29" i="19"/>
  <c r="BL29" i="19"/>
  <c r="BJ42" i="19"/>
  <c r="BJ59" i="19"/>
  <c r="BN70" i="19"/>
  <c r="BO70" i="19" s="1"/>
  <c r="BM70" i="19"/>
  <c r="BK70" i="19"/>
  <c r="BL70" i="19"/>
  <c r="BN85" i="19"/>
  <c r="BO85" i="19" s="1"/>
  <c r="BK85" i="19"/>
  <c r="BM85" i="19"/>
  <c r="BL85" i="19"/>
  <c r="BN84" i="19"/>
  <c r="BO84" i="19" s="1"/>
  <c r="BM84" i="19"/>
  <c r="BK84" i="19"/>
  <c r="BL84" i="19"/>
  <c r="BJ14" i="19"/>
  <c r="BJ44" i="19"/>
  <c r="BJ28" i="19"/>
  <c r="BN69" i="19"/>
  <c r="BO69" i="19" s="1"/>
  <c r="BK69" i="19"/>
  <c r="BM69" i="19"/>
  <c r="BL69" i="19"/>
  <c r="BJ80" i="19"/>
  <c r="BJ86" i="19"/>
  <c r="BJ87" i="19"/>
  <c r="BN58" i="19"/>
  <c r="BO58" i="19" s="1"/>
  <c r="BK58" i="19"/>
  <c r="BM58" i="19"/>
  <c r="BL58" i="19"/>
  <c r="BM61" i="19"/>
  <c r="BN61" i="19"/>
  <c r="BO61" i="19" s="1"/>
  <c r="BK61" i="19"/>
  <c r="BL61" i="19"/>
  <c r="BN33" i="19"/>
  <c r="BO33" i="19" s="1"/>
  <c r="BK33" i="19"/>
  <c r="BM33" i="19"/>
  <c r="BL33" i="19"/>
  <c r="BJ55" i="19"/>
  <c r="BJ66" i="19"/>
  <c r="BN46" i="19"/>
  <c r="BO46" i="19" s="1"/>
  <c r="BK46" i="19"/>
  <c r="BM46" i="19"/>
  <c r="BL46" i="19"/>
  <c r="BN20" i="19"/>
  <c r="BO20" i="19" s="1"/>
  <c r="BM20" i="19"/>
  <c r="BK20" i="19"/>
  <c r="BL20" i="19"/>
  <c r="BJ37" i="19"/>
  <c r="BJ78" i="19"/>
  <c r="BJ51" i="19"/>
  <c r="BN56" i="19"/>
  <c r="BO56" i="19" s="1"/>
  <c r="BK56" i="19"/>
  <c r="BM56" i="19"/>
  <c r="BL56" i="19"/>
  <c r="BK89" i="19"/>
  <c r="BN89" i="19"/>
  <c r="BO89" i="19" s="1"/>
  <c r="BM89" i="19"/>
  <c r="BL89" i="19"/>
  <c r="BJ17" i="19"/>
  <c r="BN81" i="19"/>
  <c r="BO81" i="19" s="1"/>
  <c r="BK81" i="19"/>
  <c r="BM81" i="19"/>
  <c r="BL81" i="19"/>
  <c r="BJ21" i="19"/>
  <c r="BK62" i="19"/>
  <c r="BM62" i="19"/>
  <c r="BN62" i="19"/>
  <c r="BO62" i="19" s="1"/>
  <c r="BL62" i="19"/>
  <c r="BJ71" i="19"/>
  <c r="BJ11" i="19"/>
  <c r="BJ76" i="19"/>
  <c r="BN73" i="19"/>
  <c r="BO73" i="19" s="1"/>
  <c r="BM73" i="19"/>
  <c r="BK73" i="19"/>
  <c r="BL73" i="19"/>
  <c r="BM22" i="19"/>
  <c r="BK22" i="19"/>
  <c r="BN22" i="19"/>
  <c r="BO22" i="19" s="1"/>
  <c r="BL22" i="19"/>
  <c r="BK36" i="19"/>
  <c r="BN36" i="19"/>
  <c r="BO36" i="19" s="1"/>
  <c r="BM36" i="19"/>
  <c r="BL36" i="19"/>
  <c r="BN34" i="19"/>
  <c r="BO34" i="19" s="1"/>
  <c r="BM34" i="19"/>
  <c r="BK34" i="19"/>
  <c r="BL34" i="19"/>
  <c r="BJ6" i="19"/>
  <c r="BJ54" i="19"/>
  <c r="BJ79" i="19"/>
  <c r="BJ23" i="19"/>
  <c r="BJ27" i="19"/>
  <c r="BJ19" i="19"/>
  <c r="BJ13" i="19"/>
  <c r="BJ24" i="19"/>
  <c r="BN10" i="19"/>
  <c r="BO10" i="19" s="1"/>
  <c r="BK10" i="19"/>
  <c r="BM10" i="19"/>
  <c r="BL10" i="19"/>
  <c r="BJ77" i="19"/>
  <c r="BJ49" i="19"/>
  <c r="BK40" i="19"/>
  <c r="BM40" i="19"/>
  <c r="BN40" i="19"/>
  <c r="BO40" i="19" s="1"/>
  <c r="BL40" i="19"/>
  <c r="BN63" i="19"/>
  <c r="BO63" i="19" s="1"/>
  <c r="BK63" i="19"/>
  <c r="BM63" i="19"/>
  <c r="BL63" i="19"/>
  <c r="BM35" i="19"/>
  <c r="BK35" i="19"/>
  <c r="BN35" i="19"/>
  <c r="BO35" i="19" s="1"/>
  <c r="BL35" i="19"/>
  <c r="BN72" i="19"/>
  <c r="BO72" i="19" s="1"/>
  <c r="BK72" i="19"/>
  <c r="BM72" i="19"/>
  <c r="BL72" i="19"/>
  <c r="BJ32" i="19"/>
  <c r="BJ30" i="19" l="1"/>
  <c r="BJ57" i="19"/>
  <c r="BJ48" i="19"/>
  <c r="BJ88" i="19"/>
  <c r="BJ41" i="19"/>
  <c r="BJ38" i="19"/>
  <c r="BJ25" i="19"/>
  <c r="BJ39" i="19"/>
  <c r="BJ16" i="19"/>
  <c r="BJ8" i="19"/>
  <c r="BJ83" i="19"/>
  <c r="BJ47" i="19"/>
  <c r="BJ60" i="19"/>
  <c r="BJ53" i="19"/>
  <c r="BJ50" i="19"/>
  <c r="BJ15" i="19"/>
  <c r="BJ64" i="19"/>
  <c r="BJ74" i="19"/>
  <c r="BJ26" i="19"/>
  <c r="BJ12" i="19"/>
  <c r="BK6" i="19"/>
  <c r="BM6" i="19"/>
  <c r="BN6" i="19"/>
  <c r="BO6" i="19" s="1"/>
  <c r="BL6" i="19"/>
  <c r="BN21" i="19"/>
  <c r="BO21" i="19" s="1"/>
  <c r="BK21" i="19"/>
  <c r="BM21" i="19"/>
  <c r="BL21" i="19"/>
  <c r="BN37" i="19"/>
  <c r="BO37" i="19" s="1"/>
  <c r="BM37" i="19"/>
  <c r="BL37" i="19"/>
  <c r="BK37" i="19"/>
  <c r="BN78" i="19"/>
  <c r="BO78" i="19" s="1"/>
  <c r="BM78" i="19"/>
  <c r="BK78" i="19"/>
  <c r="BL78" i="19"/>
  <c r="BM24" i="19"/>
  <c r="BN24" i="19"/>
  <c r="BO24" i="19" s="1"/>
  <c r="BK24" i="19"/>
  <c r="BL24" i="19"/>
  <c r="BN76" i="19"/>
  <c r="BO76" i="19" s="1"/>
  <c r="BM76" i="19"/>
  <c r="BK76" i="19"/>
  <c r="BL76" i="19"/>
  <c r="BK66" i="19"/>
  <c r="BM66" i="19"/>
  <c r="BN66" i="19"/>
  <c r="BO66" i="19" s="1"/>
  <c r="BL66" i="19"/>
  <c r="BN7" i="19"/>
  <c r="BO7" i="19" s="1"/>
  <c r="BK7" i="19"/>
  <c r="BL7" i="19"/>
  <c r="BM7" i="19"/>
  <c r="BN32" i="19"/>
  <c r="BO32" i="19" s="1"/>
  <c r="BM32" i="19"/>
  <c r="BK32" i="19"/>
  <c r="BL32" i="19"/>
  <c r="BN11" i="19"/>
  <c r="BO11" i="19" s="1"/>
  <c r="BM11" i="19"/>
  <c r="BL11" i="19"/>
  <c r="BK11" i="19"/>
  <c r="BN55" i="19"/>
  <c r="BO55" i="19" s="1"/>
  <c r="BM55" i="19"/>
  <c r="BK55" i="19"/>
  <c r="BL55" i="19"/>
  <c r="BN28" i="19"/>
  <c r="BO28" i="19" s="1"/>
  <c r="BK28" i="19"/>
  <c r="BM28" i="19"/>
  <c r="BL28" i="19"/>
  <c r="BN49" i="19"/>
  <c r="BO49" i="19" s="1"/>
  <c r="BK49" i="19"/>
  <c r="BM49" i="19"/>
  <c r="BL49" i="19"/>
  <c r="BN19" i="19"/>
  <c r="BO19" i="19" s="1"/>
  <c r="BM19" i="19"/>
  <c r="BK19" i="19"/>
  <c r="BL19" i="19"/>
  <c r="BN71" i="19"/>
  <c r="BO71" i="19" s="1"/>
  <c r="BK71" i="19"/>
  <c r="BM71" i="19"/>
  <c r="BL71" i="19"/>
  <c r="BN87" i="19"/>
  <c r="BO87" i="19" s="1"/>
  <c r="BK87" i="19"/>
  <c r="BM87" i="19"/>
  <c r="BL87" i="19"/>
  <c r="BN44" i="19"/>
  <c r="BO44" i="19" s="1"/>
  <c r="BK44" i="19"/>
  <c r="BM44" i="19"/>
  <c r="BL44" i="19"/>
  <c r="BN13" i="19"/>
  <c r="BO13" i="19" s="1"/>
  <c r="BM13" i="19"/>
  <c r="BK13" i="19"/>
  <c r="BL13" i="19"/>
  <c r="BM86" i="19"/>
  <c r="BK86" i="19"/>
  <c r="BN86" i="19"/>
  <c r="BO86" i="19" s="1"/>
  <c r="BL86" i="19"/>
  <c r="BN14" i="19"/>
  <c r="BO14" i="19" s="1"/>
  <c r="BK14" i="19"/>
  <c r="BM14" i="19"/>
  <c r="BL14" i="19"/>
  <c r="BN31" i="19"/>
  <c r="BO31" i="19" s="1"/>
  <c r="BK31" i="19"/>
  <c r="BM31" i="19"/>
  <c r="BL31" i="19"/>
  <c r="BN77" i="19"/>
  <c r="BO77" i="19" s="1"/>
  <c r="BM77" i="19"/>
  <c r="BK77" i="19"/>
  <c r="BL77" i="19"/>
  <c r="BN27" i="19"/>
  <c r="BO27" i="19" s="1"/>
  <c r="BK27" i="19"/>
  <c r="BM27" i="19"/>
  <c r="BL27" i="19"/>
  <c r="BN23" i="19"/>
  <c r="BO23" i="19" s="1"/>
  <c r="BM23" i="19"/>
  <c r="BK23" i="19"/>
  <c r="BL23" i="19"/>
  <c r="BN17" i="19"/>
  <c r="BO17" i="19" s="1"/>
  <c r="BK17" i="19"/>
  <c r="BM17" i="19"/>
  <c r="BL17" i="19"/>
  <c r="BN80" i="19"/>
  <c r="BO80" i="19" s="1"/>
  <c r="BM80" i="19"/>
  <c r="BK80" i="19"/>
  <c r="BL80" i="19"/>
  <c r="BN59" i="19"/>
  <c r="BO59" i="19" s="1"/>
  <c r="BK59" i="19"/>
  <c r="BM59" i="19"/>
  <c r="BL59" i="19"/>
  <c r="BK18" i="19"/>
  <c r="BM18" i="19"/>
  <c r="BN18" i="19"/>
  <c r="BO18" i="19" s="1"/>
  <c r="BL18" i="19"/>
  <c r="BN54" i="19"/>
  <c r="BO54" i="19" s="1"/>
  <c r="BM54" i="19"/>
  <c r="BK54" i="19"/>
  <c r="BL54" i="19"/>
  <c r="BN79" i="19"/>
  <c r="BO79" i="19" s="1"/>
  <c r="BK79" i="19"/>
  <c r="BM79" i="19"/>
  <c r="BL79" i="19"/>
  <c r="BK51" i="19"/>
  <c r="BM51" i="19"/>
  <c r="BN51" i="19"/>
  <c r="BO51" i="19" s="1"/>
  <c r="BL51" i="19"/>
  <c r="BN42" i="19"/>
  <c r="BO42" i="19" s="1"/>
  <c r="BK42" i="19"/>
  <c r="BM42" i="19"/>
  <c r="BL42" i="19"/>
  <c r="BN43" i="19"/>
  <c r="BO43" i="19" s="1"/>
  <c r="BM43" i="19"/>
  <c r="BK43" i="19"/>
  <c r="BL43" i="19"/>
  <c r="BM15" i="19" l="1"/>
  <c r="BK15" i="19"/>
  <c r="BL15" i="19"/>
  <c r="BN15" i="19"/>
  <c r="BO15" i="19" s="1"/>
  <c r="BN39" i="19"/>
  <c r="BO39" i="19" s="1"/>
  <c r="BM39" i="19"/>
  <c r="BK39" i="19"/>
  <c r="BL39" i="19"/>
  <c r="BN50" i="19"/>
  <c r="BO50" i="19" s="1"/>
  <c r="BM50" i="19"/>
  <c r="BK50" i="19"/>
  <c r="BL50" i="19"/>
  <c r="BM25" i="19"/>
  <c r="BK25" i="19"/>
  <c r="BN25" i="19"/>
  <c r="BO25" i="19" s="1"/>
  <c r="BL25" i="19"/>
  <c r="BN53" i="19"/>
  <c r="BO53" i="19" s="1"/>
  <c r="BM53" i="19"/>
  <c r="BK53" i="19"/>
  <c r="BL53" i="19"/>
  <c r="BN38" i="19"/>
  <c r="BO38" i="19" s="1"/>
  <c r="BM38" i="19"/>
  <c r="BK38" i="19"/>
  <c r="BL38" i="19"/>
  <c r="BM60" i="19"/>
  <c r="BK60" i="19"/>
  <c r="BN60" i="19"/>
  <c r="BO60" i="19" s="1"/>
  <c r="BL60" i="19"/>
  <c r="BN41" i="19"/>
  <c r="BO41" i="19" s="1"/>
  <c r="BK41" i="19"/>
  <c r="BL41" i="19"/>
  <c r="BM41" i="19"/>
  <c r="BN12" i="19"/>
  <c r="BO12" i="19" s="1"/>
  <c r="BM12" i="19"/>
  <c r="BK12" i="19"/>
  <c r="BL12" i="19"/>
  <c r="BN47" i="19"/>
  <c r="BO47" i="19" s="1"/>
  <c r="BK47" i="19"/>
  <c r="BM47" i="19"/>
  <c r="BL47" i="19"/>
  <c r="BK88" i="19"/>
  <c r="BN88" i="19"/>
  <c r="BO88" i="19" s="1"/>
  <c r="BL88" i="19"/>
  <c r="BM88" i="19"/>
  <c r="BN26" i="19"/>
  <c r="BO26" i="19" s="1"/>
  <c r="BK26" i="19"/>
  <c r="BM26" i="19"/>
  <c r="BL26" i="19"/>
  <c r="BN83" i="19"/>
  <c r="BO83" i="19" s="1"/>
  <c r="BM83" i="19"/>
  <c r="BK83" i="19"/>
  <c r="BL83" i="19"/>
  <c r="BM48" i="19"/>
  <c r="BK48" i="19"/>
  <c r="BL48" i="19"/>
  <c r="BN48" i="19"/>
  <c r="BO48" i="19" s="1"/>
  <c r="BK74" i="19"/>
  <c r="BL74" i="19"/>
  <c r="BN74" i="19"/>
  <c r="BO74" i="19" s="1"/>
  <c r="BM74" i="19"/>
  <c r="BK8" i="19"/>
  <c r="BM8" i="19"/>
  <c r="BN8" i="19"/>
  <c r="BO8" i="19" s="1"/>
  <c r="BL8" i="19"/>
  <c r="BN57" i="19"/>
  <c r="BO57" i="19" s="1"/>
  <c r="BK57" i="19"/>
  <c r="BM57" i="19"/>
  <c r="BL57" i="19"/>
  <c r="BN64" i="19"/>
  <c r="BO64" i="19" s="1"/>
  <c r="BK64" i="19"/>
  <c r="BM64" i="19"/>
  <c r="BL64" i="19"/>
  <c r="BM16" i="19"/>
  <c r="BL16" i="19"/>
  <c r="BN16" i="19"/>
  <c r="BO16" i="19" s="1"/>
  <c r="BK16" i="19"/>
  <c r="BN30" i="19"/>
  <c r="BO30" i="19" s="1"/>
  <c r="BM30" i="19"/>
  <c r="BK30" i="19"/>
  <c r="BL30" i="19"/>
  <c r="BO90" i="19" l="1"/>
  <c r="BR44" i="19" s="1"/>
  <c r="BL90" i="19"/>
  <c r="BM90" i="19"/>
  <c r="BK90" i="19"/>
  <c r="BR66" i="19"/>
  <c r="BP78" i="19"/>
  <c r="BQ42" i="19"/>
  <c r="BQ11" i="19"/>
  <c r="BR51" i="19"/>
  <c r="BR13" i="19"/>
  <c r="BP23" i="19"/>
  <c r="BQ24" i="19"/>
  <c r="BQ18" i="19"/>
  <c r="BQ49" i="19"/>
  <c r="BP42" i="19"/>
  <c r="BR86" i="19"/>
  <c r="BR21" i="19"/>
  <c r="BQ13" i="19"/>
  <c r="BP54" i="19"/>
  <c r="BP49" i="19"/>
  <c r="BR18" i="19"/>
  <c r="BS18" i="19" s="1"/>
  <c r="BQ86" i="19"/>
  <c r="BP21" i="19"/>
  <c r="BP13" i="19"/>
  <c r="BR43" i="19"/>
  <c r="BR37" i="19"/>
  <c r="BR79" i="19"/>
  <c r="BS79" i="19" s="1"/>
  <c r="BQ43" i="19"/>
  <c r="BQ14" i="19"/>
  <c r="BR31" i="19"/>
  <c r="BS31" i="19" s="1"/>
  <c r="BP31" i="19"/>
  <c r="BQ59" i="19"/>
  <c r="BP14" i="19"/>
  <c r="BR78" i="19"/>
  <c r="BQ78" i="19"/>
  <c r="BP59" i="19"/>
  <c r="BQ21" i="19"/>
  <c r="BR7" i="19"/>
  <c r="BP71" i="19"/>
  <c r="BR17" i="19"/>
  <c r="BP66" i="19"/>
  <c r="BR19" i="19"/>
  <c r="BR28" i="19"/>
  <c r="BS28" i="19" s="1"/>
  <c r="BQ77" i="19"/>
  <c r="BR11" i="19"/>
  <c r="BS11" i="19" s="1"/>
  <c r="BQ17" i="19"/>
  <c r="BR87" i="19"/>
  <c r="BS87" i="19" s="1"/>
  <c r="BQ19" i="19"/>
  <c r="BQ32" i="19"/>
  <c r="BR71" i="19"/>
  <c r="BQ71" i="19"/>
  <c r="BQ7" i="19"/>
  <c r="BQ28" i="19"/>
  <c r="BR42" i="19"/>
  <c r="BS42" i="19" s="1"/>
  <c r="BP11" i="19"/>
  <c r="BP17" i="19"/>
  <c r="BP87" i="19"/>
  <c r="BR23" i="19"/>
  <c r="BP19" i="19"/>
  <c r="BS78" i="19"/>
  <c r="BS13" i="19"/>
  <c r="BS43" i="19"/>
  <c r="BP29" i="19"/>
  <c r="BP75" i="19"/>
  <c r="BQ39" i="19"/>
  <c r="BR83" i="19"/>
  <c r="BP73" i="19"/>
  <c r="BR81" i="19"/>
  <c r="BR47" i="19"/>
  <c r="BR41" i="19"/>
  <c r="BP72" i="19"/>
  <c r="BP65" i="19"/>
  <c r="BP9" i="19"/>
  <c r="BR30" i="19"/>
  <c r="BQ15" i="19"/>
  <c r="BQ8" i="19"/>
  <c r="BP50" i="19"/>
  <c r="BQ84" i="19"/>
  <c r="BQ68" i="19"/>
  <c r="BQ29" i="19"/>
  <c r="BR75" i="19"/>
  <c r="BQ74" i="19"/>
  <c r="BP39" i="19"/>
  <c r="BQ26" i="19"/>
  <c r="BR73" i="19"/>
  <c r="BP20" i="19"/>
  <c r="BQ57" i="19"/>
  <c r="BP40" i="19"/>
  <c r="BR72" i="19"/>
  <c r="BQ33" i="19"/>
  <c r="BR65" i="19"/>
  <c r="BQ9" i="19"/>
  <c r="BP35" i="19"/>
  <c r="BR15" i="19"/>
  <c r="BR8" i="19"/>
  <c r="BQ50" i="19"/>
  <c r="BR84" i="19"/>
  <c r="BR69" i="19"/>
  <c r="BR89" i="19"/>
  <c r="BQ75" i="19"/>
  <c r="BR52" i="19"/>
  <c r="BR36" i="19"/>
  <c r="BR29" i="19"/>
  <c r="BP82" i="19"/>
  <c r="BP74" i="19"/>
  <c r="BR39" i="19"/>
  <c r="BP26" i="19"/>
  <c r="BQ20" i="19"/>
  <c r="BP57" i="19"/>
  <c r="BR40" i="19"/>
  <c r="BP63" i="19"/>
  <c r="BP33" i="19"/>
  <c r="BQ53" i="19"/>
  <c r="BR9" i="19"/>
  <c r="BQ35" i="19"/>
  <c r="BQ61" i="19"/>
  <c r="BP34" i="19"/>
  <c r="BP8" i="19"/>
  <c r="BP38" i="19"/>
  <c r="BR50" i="19"/>
  <c r="BP60" i="19"/>
  <c r="BQ69" i="19"/>
  <c r="BP89" i="19"/>
  <c r="BQ73" i="19"/>
  <c r="BP30" i="19"/>
  <c r="BR10" i="19"/>
  <c r="BR70" i="19"/>
  <c r="BQ82" i="19"/>
  <c r="BR74" i="19"/>
  <c r="BQ12" i="19"/>
  <c r="BR26" i="19"/>
  <c r="BR20" i="19"/>
  <c r="BQ85" i="19"/>
  <c r="BR57" i="19"/>
  <c r="BP56" i="19"/>
  <c r="BQ40" i="19"/>
  <c r="BR63" i="19"/>
  <c r="BR33" i="19"/>
  <c r="BP53" i="19"/>
  <c r="BP64" i="19"/>
  <c r="BR35" i="19"/>
  <c r="BQ62" i="19"/>
  <c r="BP61" i="19"/>
  <c r="BQ34" i="19"/>
  <c r="BP48" i="19"/>
  <c r="BQ38" i="19"/>
  <c r="BQ60" i="19"/>
  <c r="BP69" i="19"/>
  <c r="BQ89" i="19"/>
  <c r="BP81" i="19"/>
  <c r="BQ41" i="19"/>
  <c r="BR82" i="19"/>
  <c r="BP12" i="19"/>
  <c r="BQ22" i="19"/>
  <c r="BP46" i="19"/>
  <c r="BR85" i="19"/>
  <c r="BP16" i="19"/>
  <c r="BQ56" i="19"/>
  <c r="BP45" i="19"/>
  <c r="BQ63" i="19"/>
  <c r="BQ58" i="19"/>
  <c r="BR53" i="19"/>
  <c r="BQ64" i="19"/>
  <c r="BQ67" i="19"/>
  <c r="BP62" i="19"/>
  <c r="BR61" i="19"/>
  <c r="BQ88" i="19"/>
  <c r="BR34" i="19"/>
  <c r="BR48" i="19"/>
  <c r="BR38" i="19"/>
  <c r="BR60" i="19"/>
  <c r="BP68" i="19"/>
  <c r="BR68" i="19"/>
  <c r="BP15" i="19"/>
  <c r="BR12" i="19"/>
  <c r="BP22" i="19"/>
  <c r="BQ46" i="19"/>
  <c r="BP85" i="19"/>
  <c r="BQ16" i="19"/>
  <c r="BR56" i="19"/>
  <c r="BQ45" i="19"/>
  <c r="BP58" i="19"/>
  <c r="BP52" i="19"/>
  <c r="BR64" i="19"/>
  <c r="BP67" i="19"/>
  <c r="BR62" i="19"/>
  <c r="BQ10" i="19"/>
  <c r="BP88" i="19"/>
  <c r="BP36" i="19"/>
  <c r="BQ48" i="19"/>
  <c r="BQ25" i="19"/>
  <c r="BP70" i="19"/>
  <c r="BP47" i="19"/>
  <c r="BP84" i="19"/>
  <c r="BP83" i="19"/>
  <c r="BR22" i="19"/>
  <c r="BQ81" i="19"/>
  <c r="BR46" i="19"/>
  <c r="BQ47" i="19"/>
  <c r="BR16" i="19"/>
  <c r="BP41" i="19"/>
  <c r="BR45" i="19"/>
  <c r="BR58" i="19"/>
  <c r="BQ52" i="19"/>
  <c r="BQ30" i="19"/>
  <c r="BR67" i="19"/>
  <c r="BP10" i="19"/>
  <c r="BR88" i="19"/>
  <c r="BQ36" i="19"/>
  <c r="BP25" i="19"/>
  <c r="BQ70" i="19"/>
  <c r="BQ83" i="19"/>
  <c r="BQ72" i="19"/>
  <c r="BQ65" i="19"/>
  <c r="BR25" i="19"/>
  <c r="BR14" i="19"/>
  <c r="BP32" i="19"/>
  <c r="BS37" i="19"/>
  <c r="BS44" i="19"/>
  <c r="BS66" i="19"/>
  <c r="BS23" i="19"/>
  <c r="BP43" i="19"/>
  <c r="BR27" i="19"/>
  <c r="BQ37" i="19"/>
  <c r="BQ6" i="19"/>
  <c r="BP44" i="19"/>
  <c r="BS21" i="19"/>
  <c r="BP27" i="19"/>
  <c r="BP37" i="19"/>
  <c r="BR6" i="19"/>
  <c r="BQ44" i="19"/>
  <c r="BS19" i="19"/>
  <c r="BS86" i="19"/>
  <c r="BR77" i="19"/>
  <c r="BP18" i="19"/>
  <c r="BP86" i="19"/>
  <c r="BP51" i="19"/>
  <c r="BQ66" i="19"/>
  <c r="BP79" i="19"/>
  <c r="BQ23" i="19"/>
  <c r="BR55" i="19"/>
  <c r="BQ27" i="19"/>
  <c r="BR76" i="19"/>
  <c r="BP6" i="19"/>
  <c r="BR80" i="19"/>
  <c r="BS17" i="19"/>
  <c r="BS51" i="19"/>
  <c r="BQ79" i="19"/>
  <c r="BR54" i="19"/>
  <c r="BR24" i="19"/>
  <c r="BP76" i="19"/>
  <c r="BP80" i="19"/>
  <c r="BS71" i="19"/>
  <c r="BS7" i="19"/>
  <c r="BP55" i="19"/>
  <c r="BR49" i="19"/>
  <c r="BP77" i="19"/>
  <c r="BP7" i="19"/>
  <c r="BQ31" i="19"/>
  <c r="BQ51" i="19"/>
  <c r="BQ87" i="19"/>
  <c r="BR59" i="19"/>
  <c r="BQ54" i="19"/>
  <c r="BQ55" i="19"/>
  <c r="BP24" i="19"/>
  <c r="BQ76" i="19"/>
  <c r="BR32" i="19"/>
  <c r="BQ80" i="19"/>
  <c r="BP28" i="19" l="1"/>
  <c r="BS57" i="19"/>
  <c r="BS40" i="19"/>
  <c r="BU40" i="19"/>
  <c r="BS59" i="19"/>
  <c r="BS24" i="19"/>
  <c r="BS68" i="19"/>
  <c r="BU68" i="19"/>
  <c r="BU35" i="19"/>
  <c r="BS35" i="19"/>
  <c r="BS52" i="19"/>
  <c r="BU52" i="19"/>
  <c r="BS73" i="19"/>
  <c r="BU73" i="19"/>
  <c r="BS47" i="19"/>
  <c r="BS61" i="19"/>
  <c r="BU61" i="19"/>
  <c r="BS54" i="19"/>
  <c r="BS80" i="19"/>
  <c r="BS22" i="19"/>
  <c r="BU22" i="19"/>
  <c r="BS56" i="19"/>
  <c r="BU56" i="19"/>
  <c r="BS85" i="19"/>
  <c r="BU85" i="19"/>
  <c r="BS20" i="19"/>
  <c r="BU20" i="19"/>
  <c r="BS81" i="19"/>
  <c r="BU81" i="19"/>
  <c r="BS49" i="19"/>
  <c r="BP90" i="19"/>
  <c r="BS6" i="19"/>
  <c r="BR90" i="19"/>
  <c r="BS58" i="19"/>
  <c r="BU58" i="19"/>
  <c r="BS60" i="19"/>
  <c r="BS26" i="19"/>
  <c r="BS89" i="19"/>
  <c r="BU89" i="19"/>
  <c r="BS65" i="19"/>
  <c r="BU65" i="19"/>
  <c r="BS67" i="19"/>
  <c r="BU67" i="19"/>
  <c r="BS36" i="19"/>
  <c r="BU36" i="19"/>
  <c r="BS32" i="19"/>
  <c r="BS76" i="19"/>
  <c r="BS45" i="19"/>
  <c r="BU45" i="19"/>
  <c r="BS62" i="19"/>
  <c r="BU62" i="19"/>
  <c r="BS38" i="19"/>
  <c r="BS53" i="19"/>
  <c r="BS33" i="19"/>
  <c r="BU33" i="19"/>
  <c r="BS9" i="19"/>
  <c r="BU9" i="19"/>
  <c r="BS39" i="19"/>
  <c r="BS69" i="19"/>
  <c r="BU69" i="19"/>
  <c r="BS30" i="19"/>
  <c r="BS83" i="19"/>
  <c r="BS46" i="19"/>
  <c r="BU46" i="19"/>
  <c r="BS10" i="19"/>
  <c r="BU10" i="19"/>
  <c r="BS41" i="19"/>
  <c r="BS77" i="19"/>
  <c r="BQ90" i="19"/>
  <c r="BS48" i="19"/>
  <c r="BS63" i="19"/>
  <c r="BU63" i="19"/>
  <c r="BS74" i="19"/>
  <c r="BS84" i="19"/>
  <c r="BU84" i="19"/>
  <c r="BS72" i="19"/>
  <c r="BU72" i="19"/>
  <c r="BS75" i="19"/>
  <c r="BU75" i="19"/>
  <c r="BS15" i="19"/>
  <c r="BS55" i="19"/>
  <c r="BS14" i="19"/>
  <c r="BS88" i="19"/>
  <c r="BS16" i="19"/>
  <c r="BS64" i="19"/>
  <c r="BS34" i="19"/>
  <c r="BU34" i="19"/>
  <c r="BS82" i="19"/>
  <c r="BU82" i="19"/>
  <c r="BS50" i="19"/>
  <c r="BS27" i="19"/>
  <c r="BS25" i="19"/>
  <c r="BS12" i="19"/>
  <c r="BS70" i="19"/>
  <c r="BU70" i="19"/>
  <c r="BS29" i="19"/>
  <c r="BU29" i="19"/>
  <c r="BS8" i="19"/>
  <c r="BU3" i="19" l="1"/>
  <c r="BU48" i="19" s="1"/>
  <c r="BU38" i="19"/>
  <c r="CF3" i="19"/>
  <c r="BU31" i="19"/>
  <c r="BU79" i="19"/>
  <c r="BU78" i="19"/>
  <c r="BU86" i="19"/>
  <c r="BU17" i="19"/>
  <c r="BU18" i="19"/>
  <c r="BU51" i="19"/>
  <c r="BU71" i="19"/>
  <c r="BU28" i="19"/>
  <c r="BU11" i="19"/>
  <c r="BU37" i="19"/>
  <c r="BU66" i="19"/>
  <c r="BU21" i="19"/>
  <c r="BU7" i="19"/>
  <c r="BU13" i="19"/>
  <c r="BU44" i="19"/>
  <c r="BU23" i="19"/>
  <c r="BU42" i="19"/>
  <c r="BU87" i="19"/>
  <c r="BU43" i="19"/>
  <c r="BU19" i="19"/>
  <c r="BU39" i="19"/>
  <c r="BU32" i="19"/>
  <c r="BY38" i="19"/>
  <c r="BZ38" i="19" s="1"/>
  <c r="BX38" i="19"/>
  <c r="BV38" i="19"/>
  <c r="BW38" i="19"/>
  <c r="BY89" i="19"/>
  <c r="BZ89" i="19" s="1"/>
  <c r="BX89" i="19"/>
  <c r="BW89" i="19"/>
  <c r="BV89" i="19"/>
  <c r="BX29" i="19"/>
  <c r="BY29" i="19"/>
  <c r="BZ29" i="19" s="1"/>
  <c r="BV29" i="19"/>
  <c r="BW29" i="19"/>
  <c r="BU64" i="19"/>
  <c r="BU77" i="19"/>
  <c r="BU83" i="19"/>
  <c r="BY9" i="19"/>
  <c r="BZ9" i="19" s="1"/>
  <c r="BW9" i="19"/>
  <c r="BV9" i="19"/>
  <c r="BX9" i="19"/>
  <c r="BY62" i="19"/>
  <c r="BZ62" i="19" s="1"/>
  <c r="BX62" i="19"/>
  <c r="BV62" i="19"/>
  <c r="BW62" i="19"/>
  <c r="BY36" i="19"/>
  <c r="BZ36" i="19" s="1"/>
  <c r="BX36" i="19"/>
  <c r="BV36" i="19"/>
  <c r="BW36" i="19"/>
  <c r="BU26" i="19"/>
  <c r="BS90" i="19"/>
  <c r="BS91" i="19" s="1"/>
  <c r="BY85" i="19"/>
  <c r="BZ85" i="19" s="1"/>
  <c r="BX85" i="19"/>
  <c r="BW85" i="19"/>
  <c r="BV85" i="19"/>
  <c r="BU54" i="19"/>
  <c r="BX52" i="19"/>
  <c r="BY52" i="19"/>
  <c r="BZ52" i="19" s="1"/>
  <c r="BV52" i="19"/>
  <c r="BW52" i="19"/>
  <c r="BU59" i="19"/>
  <c r="BU24" i="19"/>
  <c r="BY46" i="19"/>
  <c r="BZ46" i="19" s="1"/>
  <c r="BV46" i="19"/>
  <c r="BW46" i="19"/>
  <c r="BX46" i="19"/>
  <c r="BY73" i="19"/>
  <c r="BZ73" i="19" s="1"/>
  <c r="BW73" i="19"/>
  <c r="BV73" i="19"/>
  <c r="BX73" i="19"/>
  <c r="BY84" i="19"/>
  <c r="BZ84" i="19" s="1"/>
  <c r="BV84" i="19"/>
  <c r="BX84" i="19"/>
  <c r="BW84" i="19"/>
  <c r="BY70" i="19"/>
  <c r="BZ70" i="19" s="1"/>
  <c r="BX70" i="19"/>
  <c r="BV70" i="19"/>
  <c r="BW70" i="19"/>
  <c r="BU15" i="19"/>
  <c r="BU41" i="19"/>
  <c r="BY33" i="19"/>
  <c r="BZ33" i="19" s="1"/>
  <c r="BV33" i="19"/>
  <c r="BX33" i="19"/>
  <c r="BW33" i="19"/>
  <c r="BY45" i="19"/>
  <c r="BZ45" i="19" s="1"/>
  <c r="BX45" i="19"/>
  <c r="BV45" i="19"/>
  <c r="BW45" i="19"/>
  <c r="BY67" i="19"/>
  <c r="BZ67" i="19" s="1"/>
  <c r="BV67" i="19"/>
  <c r="BW67" i="19"/>
  <c r="BX67" i="19"/>
  <c r="BY56" i="19"/>
  <c r="BZ56" i="19" s="1"/>
  <c r="BV56" i="19"/>
  <c r="BX56" i="19"/>
  <c r="BW56" i="19"/>
  <c r="BY61" i="19"/>
  <c r="BZ61" i="19" s="1"/>
  <c r="BV61" i="19"/>
  <c r="BX61" i="19"/>
  <c r="BW61" i="19"/>
  <c r="BV40" i="19"/>
  <c r="BY40" i="19"/>
  <c r="BZ40" i="19" s="1"/>
  <c r="BX40" i="19"/>
  <c r="BW40" i="19"/>
  <c r="BU6" i="19"/>
  <c r="BU55" i="19"/>
  <c r="BU74" i="19"/>
  <c r="BY82" i="19"/>
  <c r="BZ82" i="19" s="1"/>
  <c r="BV82" i="19"/>
  <c r="BX82" i="19"/>
  <c r="BW82" i="19"/>
  <c r="BU88" i="19"/>
  <c r="BY75" i="19"/>
  <c r="BZ75" i="19" s="1"/>
  <c r="BW75" i="19"/>
  <c r="BV75" i="19"/>
  <c r="BX75" i="19"/>
  <c r="BY63" i="19"/>
  <c r="BZ63" i="19" s="1"/>
  <c r="BV63" i="19"/>
  <c r="BX63" i="19"/>
  <c r="BW63" i="19"/>
  <c r="BU30" i="19"/>
  <c r="BU60" i="19"/>
  <c r="BU49" i="19"/>
  <c r="BY35" i="19"/>
  <c r="BZ35" i="19" s="1"/>
  <c r="BX35" i="19"/>
  <c r="BV35" i="19"/>
  <c r="BW35" i="19"/>
  <c r="BW48" i="19"/>
  <c r="BX48" i="19"/>
  <c r="BV48" i="19"/>
  <c r="BY48" i="19"/>
  <c r="BZ48" i="19" s="1"/>
  <c r="BU80" i="19"/>
  <c r="BU27" i="19"/>
  <c r="BU16" i="19"/>
  <c r="BV10" i="19"/>
  <c r="BW10" i="19"/>
  <c r="BY10" i="19"/>
  <c r="BZ10" i="19" s="1"/>
  <c r="BX10" i="19"/>
  <c r="BY69" i="19"/>
  <c r="BZ69" i="19" s="1"/>
  <c r="BX69" i="19"/>
  <c r="BW69" i="19"/>
  <c r="BV69" i="19"/>
  <c r="BU53" i="19"/>
  <c r="BU76" i="19"/>
  <c r="BY65" i="19"/>
  <c r="BZ65" i="19" s="1"/>
  <c r="BX65" i="19"/>
  <c r="BV65" i="19"/>
  <c r="BW65" i="19"/>
  <c r="BY58" i="19"/>
  <c r="BZ58" i="19" s="1"/>
  <c r="BW58" i="19"/>
  <c r="BX58" i="19"/>
  <c r="BV58" i="19"/>
  <c r="BY81" i="19"/>
  <c r="BZ81" i="19" s="1"/>
  <c r="BV81" i="19"/>
  <c r="BW81" i="19"/>
  <c r="BX81" i="19"/>
  <c r="BY22" i="19"/>
  <c r="BZ22" i="19" s="1"/>
  <c r="BW22" i="19"/>
  <c r="BX22" i="19"/>
  <c r="BV22" i="19"/>
  <c r="BU47" i="19"/>
  <c r="BX68" i="19"/>
  <c r="BY68" i="19"/>
  <c r="BZ68" i="19" s="1"/>
  <c r="BV68" i="19"/>
  <c r="BW68" i="19"/>
  <c r="BU57" i="19"/>
  <c r="BV20" i="19"/>
  <c r="BX20" i="19"/>
  <c r="BY20" i="19"/>
  <c r="BZ20" i="19" s="1"/>
  <c r="BW20" i="19"/>
  <c r="BU50" i="19"/>
  <c r="BU12" i="19"/>
  <c r="BU8" i="19"/>
  <c r="BU25" i="19"/>
  <c r="BV34" i="19"/>
  <c r="BY34" i="19"/>
  <c r="BZ34" i="19" s="1"/>
  <c r="BW34" i="19"/>
  <c r="BX34" i="19"/>
  <c r="BU14" i="19"/>
  <c r="BY72" i="19"/>
  <c r="BZ72" i="19" s="1"/>
  <c r="BV72" i="19"/>
  <c r="BX72" i="19"/>
  <c r="BW72" i="19"/>
  <c r="BX51" i="19" l="1"/>
  <c r="BW51" i="19"/>
  <c r="BY51" i="19"/>
  <c r="BZ51" i="19" s="1"/>
  <c r="BV51" i="19"/>
  <c r="BV8" i="19"/>
  <c r="BW8" i="19"/>
  <c r="BY8" i="19"/>
  <c r="BZ8" i="19" s="1"/>
  <c r="BX8" i="19"/>
  <c r="BX27" i="19"/>
  <c r="BV27" i="19"/>
  <c r="BY27" i="19"/>
  <c r="BZ27" i="19" s="1"/>
  <c r="BW27" i="19"/>
  <c r="BX59" i="19"/>
  <c r="BV59" i="19"/>
  <c r="BY59" i="19"/>
  <c r="BZ59" i="19" s="1"/>
  <c r="BW59" i="19"/>
  <c r="BY83" i="19"/>
  <c r="BZ83" i="19" s="1"/>
  <c r="BX83" i="19"/>
  <c r="BV83" i="19"/>
  <c r="BW83" i="19"/>
  <c r="BY39" i="19"/>
  <c r="BZ39" i="19" s="1"/>
  <c r="BV39" i="19"/>
  <c r="BW39" i="19"/>
  <c r="BX39" i="19"/>
  <c r="BY7" i="19"/>
  <c r="BZ7" i="19" s="1"/>
  <c r="BX7" i="19"/>
  <c r="BW7" i="19"/>
  <c r="BV7" i="19"/>
  <c r="BY18" i="19"/>
  <c r="BZ18" i="19" s="1"/>
  <c r="BW18" i="19"/>
  <c r="BV18" i="19"/>
  <c r="BX18" i="19"/>
  <c r="BY12" i="19"/>
  <c r="BZ12" i="19" s="1"/>
  <c r="BX12" i="19"/>
  <c r="BV12" i="19"/>
  <c r="BW12" i="19"/>
  <c r="BY80" i="19"/>
  <c r="BZ80" i="19" s="1"/>
  <c r="BV80" i="19"/>
  <c r="BW80" i="19"/>
  <c r="BX80" i="19"/>
  <c r="BY77" i="19"/>
  <c r="BZ77" i="19" s="1"/>
  <c r="BW77" i="19"/>
  <c r="BX77" i="19"/>
  <c r="BV77" i="19"/>
  <c r="BX19" i="19"/>
  <c r="BV19" i="19"/>
  <c r="BY19" i="19"/>
  <c r="BZ19" i="19" s="1"/>
  <c r="BW19" i="19"/>
  <c r="BY21" i="19"/>
  <c r="BZ21" i="19" s="1"/>
  <c r="BV21" i="19"/>
  <c r="BW21" i="19"/>
  <c r="BX21" i="19"/>
  <c r="BY17" i="19"/>
  <c r="BZ17" i="19" s="1"/>
  <c r="BX17" i="19"/>
  <c r="BW17" i="19"/>
  <c r="BV17" i="19"/>
  <c r="BY49" i="19"/>
  <c r="BZ49" i="19" s="1"/>
  <c r="BV49" i="19"/>
  <c r="BW49" i="19"/>
  <c r="BX49" i="19"/>
  <c r="BY64" i="19"/>
  <c r="BZ64" i="19" s="1"/>
  <c r="BV64" i="19"/>
  <c r="BX64" i="19"/>
  <c r="BW64" i="19"/>
  <c r="BY43" i="19"/>
  <c r="BZ43" i="19" s="1"/>
  <c r="BW43" i="19"/>
  <c r="BX43" i="19"/>
  <c r="BV43" i="19"/>
  <c r="BY66" i="19"/>
  <c r="BZ66" i="19" s="1"/>
  <c r="BV66" i="19"/>
  <c r="BX66" i="19"/>
  <c r="BW66" i="19"/>
  <c r="BY86" i="19"/>
  <c r="BZ86" i="19" s="1"/>
  <c r="BX86" i="19"/>
  <c r="BV86" i="19"/>
  <c r="BW86" i="19"/>
  <c r="BY24" i="19"/>
  <c r="BZ24" i="19" s="1"/>
  <c r="BW24" i="19"/>
  <c r="BV24" i="19"/>
  <c r="BX24" i="19"/>
  <c r="BY13" i="19"/>
  <c r="BZ13" i="19" s="1"/>
  <c r="BV13" i="19"/>
  <c r="BX13" i="19"/>
  <c r="BW13" i="19"/>
  <c r="BY60" i="19"/>
  <c r="BZ60" i="19" s="1"/>
  <c r="BX60" i="19"/>
  <c r="BV60" i="19"/>
  <c r="BW60" i="19"/>
  <c r="BY55" i="19"/>
  <c r="BZ55" i="19" s="1"/>
  <c r="BW55" i="19"/>
  <c r="BX55" i="19"/>
  <c r="BV55" i="19"/>
  <c r="BX26" i="19"/>
  <c r="BW26" i="19"/>
  <c r="BY26" i="19"/>
  <c r="BZ26" i="19" s="1"/>
  <c r="BV26" i="19"/>
  <c r="BY87" i="19"/>
  <c r="BZ87" i="19" s="1"/>
  <c r="BW87" i="19"/>
  <c r="BX87" i="19"/>
  <c r="BV87" i="19"/>
  <c r="BX37" i="19"/>
  <c r="BY37" i="19"/>
  <c r="BZ37" i="19" s="1"/>
  <c r="BV37" i="19"/>
  <c r="BW37" i="19"/>
  <c r="BW78" i="19"/>
  <c r="BV78" i="19"/>
  <c r="BY78" i="19"/>
  <c r="BZ78" i="19" s="1"/>
  <c r="BX78" i="19"/>
  <c r="BX16" i="19"/>
  <c r="BV16" i="19"/>
  <c r="BY16" i="19"/>
  <c r="BZ16" i="19" s="1"/>
  <c r="BW16" i="19"/>
  <c r="BV14" i="19"/>
  <c r="BW14" i="19"/>
  <c r="BY14" i="19"/>
  <c r="BZ14" i="19" s="1"/>
  <c r="BX14" i="19"/>
  <c r="BY74" i="19"/>
  <c r="BZ74" i="19" s="1"/>
  <c r="BV74" i="19"/>
  <c r="BW74" i="19"/>
  <c r="BX74" i="19"/>
  <c r="BY30" i="19"/>
  <c r="BZ30" i="19" s="1"/>
  <c r="BW30" i="19"/>
  <c r="BX30" i="19"/>
  <c r="BV30" i="19"/>
  <c r="BV6" i="19"/>
  <c r="BY6" i="19"/>
  <c r="BZ6" i="19" s="1"/>
  <c r="BX6" i="19"/>
  <c r="BW6" i="19"/>
  <c r="BY42" i="19"/>
  <c r="BZ42" i="19" s="1"/>
  <c r="BX42" i="19"/>
  <c r="BV42" i="19"/>
  <c r="BW42" i="19"/>
  <c r="BV11" i="19"/>
  <c r="BX11" i="19"/>
  <c r="BW11" i="19"/>
  <c r="BY11" i="19"/>
  <c r="BZ11" i="19" s="1"/>
  <c r="BY79" i="19"/>
  <c r="BZ79" i="19" s="1"/>
  <c r="BX79" i="19"/>
  <c r="BV79" i="19"/>
  <c r="BW79" i="19"/>
  <c r="BY57" i="19"/>
  <c r="BZ57" i="19" s="1"/>
  <c r="BW57" i="19"/>
  <c r="BV57" i="19"/>
  <c r="BX57" i="19"/>
  <c r="BW32" i="19"/>
  <c r="BY32" i="19"/>
  <c r="BZ32" i="19" s="1"/>
  <c r="BV32" i="19"/>
  <c r="BX32" i="19"/>
  <c r="BY50" i="19"/>
  <c r="BZ50" i="19" s="1"/>
  <c r="BX50" i="19"/>
  <c r="BV50" i="19"/>
  <c r="BW50" i="19"/>
  <c r="BY47" i="19"/>
  <c r="BZ47" i="19" s="1"/>
  <c r="BX47" i="19"/>
  <c r="BV47" i="19"/>
  <c r="BW47" i="19"/>
  <c r="BX76" i="19"/>
  <c r="BY76" i="19"/>
  <c r="BZ76" i="19" s="1"/>
  <c r="BV76" i="19"/>
  <c r="BW76" i="19"/>
  <c r="BW88" i="19"/>
  <c r="BX88" i="19"/>
  <c r="BY88" i="19"/>
  <c r="BZ88" i="19" s="1"/>
  <c r="BV88" i="19"/>
  <c r="BV41" i="19"/>
  <c r="BY41" i="19"/>
  <c r="BZ41" i="19" s="1"/>
  <c r="BW41" i="19"/>
  <c r="BX41" i="19"/>
  <c r="BY54" i="19"/>
  <c r="BZ54" i="19" s="1"/>
  <c r="BW54" i="19"/>
  <c r="BX54" i="19"/>
  <c r="BV54" i="19"/>
  <c r="BY23" i="19"/>
  <c r="BZ23" i="19" s="1"/>
  <c r="BW23" i="19"/>
  <c r="BV23" i="19"/>
  <c r="BX23" i="19"/>
  <c r="BW28" i="19"/>
  <c r="BY28" i="19"/>
  <c r="BZ28" i="19" s="1"/>
  <c r="BV28" i="19"/>
  <c r="BX28" i="19"/>
  <c r="BY31" i="19"/>
  <c r="BZ31" i="19" s="1"/>
  <c r="BX31" i="19"/>
  <c r="BV31" i="19"/>
  <c r="BW31" i="19"/>
  <c r="BW25" i="19"/>
  <c r="BY25" i="19"/>
  <c r="BZ25" i="19" s="1"/>
  <c r="BV25" i="19"/>
  <c r="BX25" i="19"/>
  <c r="BW53" i="19"/>
  <c r="BY53" i="19"/>
  <c r="BZ53" i="19" s="1"/>
  <c r="BV53" i="19"/>
  <c r="BX53" i="19"/>
  <c r="BY15" i="19"/>
  <c r="BZ15" i="19" s="1"/>
  <c r="BX15" i="19"/>
  <c r="BW15" i="19"/>
  <c r="BV15" i="19"/>
  <c r="BY44" i="19"/>
  <c r="BZ44" i="19" s="1"/>
  <c r="BV44" i="19"/>
  <c r="BX44" i="19"/>
  <c r="BW44" i="19"/>
  <c r="BX71" i="19"/>
  <c r="BV71" i="19"/>
  <c r="BY71" i="19"/>
  <c r="BZ71" i="19" s="1"/>
  <c r="BW71" i="19"/>
  <c r="CF61" i="19"/>
  <c r="CF45" i="19"/>
  <c r="CF44" i="19"/>
  <c r="CF52" i="19"/>
  <c r="CF30" i="19"/>
  <c r="CF31" i="19"/>
  <c r="CF15" i="19"/>
  <c r="CF20" i="19"/>
  <c r="CF55" i="19"/>
  <c r="CF35" i="19"/>
  <c r="CF56" i="19"/>
  <c r="CF11" i="19"/>
  <c r="CF43" i="19"/>
  <c r="CF58" i="19"/>
  <c r="CF39" i="19"/>
  <c r="CF22" i="19"/>
  <c r="CF38" i="19"/>
  <c r="CF54" i="19"/>
  <c r="CF19" i="19"/>
  <c r="CF21" i="19"/>
  <c r="CF28" i="19"/>
  <c r="CF13" i="19"/>
  <c r="CF85" i="19"/>
  <c r="CF46" i="19"/>
  <c r="CF59" i="19"/>
  <c r="CF79" i="19"/>
  <c r="CF16" i="19"/>
  <c r="CF80" i="19"/>
  <c r="CF9" i="19"/>
  <c r="CF18" i="19"/>
  <c r="CF82" i="19"/>
  <c r="CF69" i="19"/>
  <c r="CF84" i="19"/>
  <c r="CF29" i="19"/>
  <c r="CF76" i="19"/>
  <c r="CF63" i="19"/>
  <c r="CF12" i="19"/>
  <c r="CF87" i="19"/>
  <c r="CF88" i="19"/>
  <c r="CF25" i="19"/>
  <c r="CF26" i="19"/>
  <c r="CF86" i="19"/>
  <c r="CF77" i="19"/>
  <c r="CF68" i="19"/>
  <c r="CF7" i="19"/>
  <c r="CF62" i="19"/>
  <c r="CF83" i="19"/>
  <c r="CF32" i="19"/>
  <c r="CF17" i="19"/>
  <c r="CF41" i="19"/>
  <c r="CF34" i="19"/>
  <c r="CF47" i="19"/>
  <c r="CF37" i="19"/>
  <c r="CF89" i="19"/>
  <c r="CF33" i="19"/>
  <c r="CF65" i="19"/>
  <c r="CF40" i="19"/>
  <c r="CF49" i="19"/>
  <c r="CF57" i="19"/>
  <c r="CF42" i="19"/>
  <c r="CF27" i="19"/>
  <c r="CS27" i="19" s="1"/>
  <c r="CF60" i="19"/>
  <c r="CF48" i="19"/>
  <c r="CF36" i="19"/>
  <c r="CF70" i="19"/>
  <c r="CF53" i="19"/>
  <c r="CF73" i="19"/>
  <c r="CF67" i="19"/>
  <c r="CF64" i="19"/>
  <c r="CF51" i="19"/>
  <c r="CF75" i="19"/>
  <c r="CF66" i="19"/>
  <c r="CS66" i="19" s="1"/>
  <c r="CF14" i="19"/>
  <c r="CF81" i="19"/>
  <c r="CF72" i="19"/>
  <c r="CF78" i="19"/>
  <c r="CF10" i="19"/>
  <c r="CF74" i="19"/>
  <c r="CF23" i="19"/>
  <c r="CF50" i="19"/>
  <c r="CF71" i="19"/>
  <c r="CF8" i="19"/>
  <c r="CF24" i="19"/>
  <c r="CI17" i="19" l="1"/>
  <c r="CG17" i="19"/>
  <c r="CH17" i="19"/>
  <c r="CS17" i="19"/>
  <c r="CJ17" i="19"/>
  <c r="CG55" i="19"/>
  <c r="CH55" i="19"/>
  <c r="CS55" i="19"/>
  <c r="CJ55" i="19"/>
  <c r="CI55" i="19"/>
  <c r="CI66" i="19"/>
  <c r="CH66" i="19"/>
  <c r="CG66" i="19"/>
  <c r="CJ66" i="19"/>
  <c r="CH36" i="19"/>
  <c r="CI36" i="19"/>
  <c r="CS36" i="19"/>
  <c r="CG36" i="19"/>
  <c r="CJ36" i="19"/>
  <c r="CG65" i="19"/>
  <c r="CS65" i="19"/>
  <c r="CH65" i="19"/>
  <c r="CI65" i="19"/>
  <c r="CJ65" i="19"/>
  <c r="CS32" i="19"/>
  <c r="CI32" i="19"/>
  <c r="CG32" i="19"/>
  <c r="CH32" i="19"/>
  <c r="CJ32" i="19"/>
  <c r="CS25" i="19"/>
  <c r="CH25" i="19"/>
  <c r="CI25" i="19"/>
  <c r="CJ25" i="19"/>
  <c r="CG25" i="19"/>
  <c r="CG69" i="19"/>
  <c r="CS69" i="19"/>
  <c r="CI69" i="19"/>
  <c r="CH69" i="19"/>
  <c r="CJ69" i="19"/>
  <c r="CS46" i="19"/>
  <c r="CG46" i="19"/>
  <c r="CH46" i="19"/>
  <c r="CI46" i="19"/>
  <c r="CJ46" i="19"/>
  <c r="CS22" i="19"/>
  <c r="CJ22" i="19"/>
  <c r="CI22" i="19"/>
  <c r="CG22" i="19"/>
  <c r="CH22" i="19"/>
  <c r="CS20" i="19"/>
  <c r="CI20" i="19"/>
  <c r="CH20" i="19"/>
  <c r="CG20" i="19"/>
  <c r="CJ20" i="19"/>
  <c r="CS40" i="19"/>
  <c r="CH40" i="19"/>
  <c r="CI40" i="19"/>
  <c r="CG40" i="19"/>
  <c r="CJ40" i="19"/>
  <c r="CS75" i="19"/>
  <c r="CI75" i="19"/>
  <c r="CG75" i="19"/>
  <c r="CH75" i="19"/>
  <c r="CJ75" i="19"/>
  <c r="CI48" i="19"/>
  <c r="CH48" i="19"/>
  <c r="CS48" i="19"/>
  <c r="CG48" i="19"/>
  <c r="CJ48" i="19"/>
  <c r="CS33" i="19"/>
  <c r="CG33" i="19"/>
  <c r="CH33" i="19"/>
  <c r="CJ33" i="19"/>
  <c r="CI33" i="19"/>
  <c r="CH83" i="19"/>
  <c r="CG83" i="19"/>
  <c r="CS83" i="19"/>
  <c r="CJ83" i="19"/>
  <c r="CI83" i="19"/>
  <c r="CS88" i="19"/>
  <c r="CI88" i="19"/>
  <c r="CH88" i="19"/>
  <c r="CJ88" i="19"/>
  <c r="CG88" i="19"/>
  <c r="CS82" i="19"/>
  <c r="CJ82" i="19"/>
  <c r="CH82" i="19"/>
  <c r="CG82" i="19"/>
  <c r="CI82" i="19"/>
  <c r="CI85" i="19"/>
  <c r="CS85" i="19"/>
  <c r="CG85" i="19"/>
  <c r="CH85" i="19"/>
  <c r="CJ85" i="19"/>
  <c r="CI39" i="19"/>
  <c r="CJ39" i="19"/>
  <c r="CH39" i="19"/>
  <c r="CS39" i="19"/>
  <c r="CG39" i="19"/>
  <c r="CS15" i="19"/>
  <c r="CJ15" i="19"/>
  <c r="CG15" i="19"/>
  <c r="CI15" i="19"/>
  <c r="CH15" i="19"/>
  <c r="CS51" i="19"/>
  <c r="CH51" i="19"/>
  <c r="CI51" i="19"/>
  <c r="CG51" i="19"/>
  <c r="CJ51" i="19"/>
  <c r="CG62" i="19"/>
  <c r="CH62" i="19"/>
  <c r="CI62" i="19"/>
  <c r="CS62" i="19"/>
  <c r="CJ62" i="19"/>
  <c r="CS87" i="19"/>
  <c r="CH87" i="19"/>
  <c r="CG87" i="19"/>
  <c r="CI87" i="19"/>
  <c r="CJ87" i="19"/>
  <c r="CS18" i="19"/>
  <c r="CI18" i="19"/>
  <c r="CJ18" i="19"/>
  <c r="CH18" i="19"/>
  <c r="CG18" i="19"/>
  <c r="CS13" i="19"/>
  <c r="CI13" i="19"/>
  <c r="CH13" i="19"/>
  <c r="CG13" i="19"/>
  <c r="CJ13" i="19"/>
  <c r="CS58" i="19"/>
  <c r="CI58" i="19"/>
  <c r="CJ58" i="19"/>
  <c r="CH58" i="19"/>
  <c r="CG58" i="19"/>
  <c r="CG31" i="19"/>
  <c r="CI31" i="19"/>
  <c r="CJ31" i="19"/>
  <c r="CS31" i="19"/>
  <c r="CH31" i="19"/>
  <c r="CS71" i="19"/>
  <c r="CH71" i="19"/>
  <c r="CG71" i="19"/>
  <c r="CJ71" i="19"/>
  <c r="CI71" i="19"/>
  <c r="CS26" i="19"/>
  <c r="CH26" i="19"/>
  <c r="CG26" i="19"/>
  <c r="CI26" i="19"/>
  <c r="CJ26" i="19"/>
  <c r="CG61" i="19"/>
  <c r="CJ61" i="19"/>
  <c r="CS61" i="19"/>
  <c r="CH61" i="19"/>
  <c r="CI61" i="19"/>
  <c r="CH74" i="19"/>
  <c r="CI74" i="19"/>
  <c r="CS74" i="19"/>
  <c r="CG74" i="19"/>
  <c r="CJ74" i="19"/>
  <c r="CG27" i="19"/>
  <c r="CI27" i="19"/>
  <c r="CH27" i="19"/>
  <c r="CJ27" i="19"/>
  <c r="CS7" i="19"/>
  <c r="CJ7" i="19"/>
  <c r="CH7" i="19"/>
  <c r="CG7" i="19"/>
  <c r="CI7" i="19"/>
  <c r="CS9" i="19"/>
  <c r="CG9" i="19"/>
  <c r="CH9" i="19"/>
  <c r="CI9" i="19"/>
  <c r="CJ9" i="19"/>
  <c r="CS28" i="19"/>
  <c r="CI28" i="19"/>
  <c r="CH28" i="19"/>
  <c r="CG28" i="19"/>
  <c r="CJ28" i="19"/>
  <c r="CS30" i="19"/>
  <c r="CJ30" i="19"/>
  <c r="CH30" i="19"/>
  <c r="CG30" i="19"/>
  <c r="CI30" i="19"/>
  <c r="BW90" i="19"/>
  <c r="CJ70" i="19"/>
  <c r="CS70" i="19"/>
  <c r="CH70" i="19"/>
  <c r="CI70" i="19"/>
  <c r="CG70" i="19"/>
  <c r="CJ38" i="19"/>
  <c r="CS38" i="19"/>
  <c r="CI38" i="19"/>
  <c r="CH38" i="19"/>
  <c r="CG38" i="19"/>
  <c r="CG50" i="19"/>
  <c r="CI50" i="19"/>
  <c r="CH50" i="19"/>
  <c r="CS50" i="19"/>
  <c r="CJ50" i="19"/>
  <c r="CH60" i="19"/>
  <c r="CI60" i="19"/>
  <c r="CS60" i="19"/>
  <c r="CJ60" i="19"/>
  <c r="CG60" i="19"/>
  <c r="CS10" i="19"/>
  <c r="CH10" i="19"/>
  <c r="CG10" i="19"/>
  <c r="CI10" i="19"/>
  <c r="CJ10" i="19"/>
  <c r="CS64" i="19"/>
  <c r="CH64" i="19"/>
  <c r="CG64" i="19"/>
  <c r="CI64" i="19"/>
  <c r="CJ64" i="19"/>
  <c r="CS37" i="19"/>
  <c r="CJ37" i="19"/>
  <c r="CH37" i="19"/>
  <c r="CG37" i="19"/>
  <c r="CI37" i="19"/>
  <c r="CG12" i="19"/>
  <c r="CI12" i="19"/>
  <c r="CJ12" i="19"/>
  <c r="CH12" i="19"/>
  <c r="CS12" i="19"/>
  <c r="CS43" i="19"/>
  <c r="CH43" i="19"/>
  <c r="CG43" i="19"/>
  <c r="CI43" i="19"/>
  <c r="CJ43" i="19"/>
  <c r="CG24" i="19"/>
  <c r="CH24" i="19"/>
  <c r="CI24" i="19"/>
  <c r="CS24" i="19"/>
  <c r="CJ24" i="19"/>
  <c r="CS78" i="19"/>
  <c r="CG78" i="19"/>
  <c r="CI78" i="19"/>
  <c r="CH78" i="19"/>
  <c r="CJ78" i="19"/>
  <c r="CS67" i="19"/>
  <c r="CI67" i="19"/>
  <c r="CG67" i="19"/>
  <c r="CH67" i="19"/>
  <c r="CJ67" i="19"/>
  <c r="CS42" i="19"/>
  <c r="CH42" i="19"/>
  <c r="CG42" i="19"/>
  <c r="CI42" i="19"/>
  <c r="CJ42" i="19"/>
  <c r="CS47" i="19"/>
  <c r="CG47" i="19"/>
  <c r="CI47" i="19"/>
  <c r="CH47" i="19"/>
  <c r="CJ47" i="19"/>
  <c r="CH68" i="19"/>
  <c r="CG68" i="19"/>
  <c r="CI68" i="19"/>
  <c r="CS68" i="19"/>
  <c r="CJ68" i="19"/>
  <c r="CS63" i="19"/>
  <c r="CH63" i="19"/>
  <c r="CI63" i="19"/>
  <c r="CG63" i="19"/>
  <c r="CJ63" i="19"/>
  <c r="CS80" i="19"/>
  <c r="CI80" i="19"/>
  <c r="CH80" i="19"/>
  <c r="CG80" i="19"/>
  <c r="CJ80" i="19"/>
  <c r="CG21" i="19"/>
  <c r="CS21" i="19"/>
  <c r="CI21" i="19"/>
  <c r="CH21" i="19"/>
  <c r="CJ21" i="19"/>
  <c r="CS11" i="19"/>
  <c r="CJ11" i="19"/>
  <c r="CI11" i="19"/>
  <c r="CH11" i="19"/>
  <c r="CG11" i="19"/>
  <c r="CI52" i="19"/>
  <c r="CG52" i="19"/>
  <c r="CS52" i="19"/>
  <c r="CH52" i="19"/>
  <c r="CJ52" i="19"/>
  <c r="BX90" i="19"/>
  <c r="CS14" i="19"/>
  <c r="CJ14" i="19"/>
  <c r="CH14" i="19"/>
  <c r="CG14" i="19"/>
  <c r="CI14" i="19"/>
  <c r="CI59" i="19"/>
  <c r="CH59" i="19"/>
  <c r="CS59" i="19"/>
  <c r="CJ59" i="19"/>
  <c r="CG59" i="19"/>
  <c r="CH23" i="19"/>
  <c r="CS23" i="19"/>
  <c r="CG23" i="19"/>
  <c r="CJ23" i="19"/>
  <c r="CI23" i="19"/>
  <c r="CH73" i="19"/>
  <c r="CI73" i="19"/>
  <c r="CG73" i="19"/>
  <c r="CJ73" i="19"/>
  <c r="CS73" i="19"/>
  <c r="CJ77" i="19"/>
  <c r="CH77" i="19"/>
  <c r="CI77" i="19"/>
  <c r="CG77" i="19"/>
  <c r="CS77" i="19"/>
  <c r="CI16" i="19"/>
  <c r="CH16" i="19"/>
  <c r="CG16" i="19"/>
  <c r="CJ16" i="19"/>
  <c r="CS16" i="19"/>
  <c r="CS56" i="19"/>
  <c r="CG56" i="19"/>
  <c r="CJ56" i="19"/>
  <c r="CH56" i="19"/>
  <c r="CI56" i="19"/>
  <c r="CS44" i="19"/>
  <c r="CH44" i="19"/>
  <c r="CG44" i="19"/>
  <c r="CJ44" i="19"/>
  <c r="CI44" i="19"/>
  <c r="BZ90" i="19"/>
  <c r="CA28" i="19" s="1"/>
  <c r="CG84" i="19"/>
  <c r="CH84" i="19"/>
  <c r="CS84" i="19"/>
  <c r="CI84" i="19"/>
  <c r="CJ84" i="19"/>
  <c r="CS89" i="19"/>
  <c r="CH89" i="19"/>
  <c r="CI89" i="19"/>
  <c r="CG89" i="19"/>
  <c r="CJ89" i="19"/>
  <c r="CH6" i="19"/>
  <c r="CG6" i="19"/>
  <c r="CI6" i="19"/>
  <c r="CJ6" i="19"/>
  <c r="CS72" i="19"/>
  <c r="CI72" i="19"/>
  <c r="CH72" i="19"/>
  <c r="CG72" i="19"/>
  <c r="CJ72" i="19"/>
  <c r="CS57" i="19"/>
  <c r="CG57" i="19"/>
  <c r="CI57" i="19"/>
  <c r="CH57" i="19"/>
  <c r="CJ57" i="19"/>
  <c r="CG34" i="19"/>
  <c r="CH34" i="19"/>
  <c r="CS34" i="19"/>
  <c r="CI34" i="19"/>
  <c r="CJ34" i="19"/>
  <c r="CH76" i="19"/>
  <c r="CJ76" i="19"/>
  <c r="CG76" i="19"/>
  <c r="CI76" i="19"/>
  <c r="CS76" i="19"/>
  <c r="CS19" i="19"/>
  <c r="CH19" i="19"/>
  <c r="CI19" i="19"/>
  <c r="CG19" i="19"/>
  <c r="CJ19" i="19"/>
  <c r="CS8" i="19"/>
  <c r="CG8" i="19"/>
  <c r="CH8" i="19"/>
  <c r="CI8" i="19"/>
  <c r="CJ8" i="19"/>
  <c r="CI81" i="19"/>
  <c r="CH81" i="19"/>
  <c r="CS81" i="19"/>
  <c r="CG81" i="19"/>
  <c r="CJ81" i="19"/>
  <c r="CS53" i="19"/>
  <c r="CJ53" i="19"/>
  <c r="CG53" i="19"/>
  <c r="CI53" i="19"/>
  <c r="CH53" i="19"/>
  <c r="CS49" i="19"/>
  <c r="CI49" i="19"/>
  <c r="CG49" i="19"/>
  <c r="CH49" i="19"/>
  <c r="CJ49" i="19"/>
  <c r="CS41" i="19"/>
  <c r="CI41" i="19"/>
  <c r="CH41" i="19"/>
  <c r="CG41" i="19"/>
  <c r="CJ41" i="19"/>
  <c r="CS86" i="19"/>
  <c r="CJ86" i="19"/>
  <c r="CI86" i="19"/>
  <c r="CG86" i="19"/>
  <c r="CH86" i="19"/>
  <c r="CG29" i="19"/>
  <c r="CH29" i="19"/>
  <c r="CS29" i="19"/>
  <c r="CI29" i="19"/>
  <c r="CJ29" i="19"/>
  <c r="CS79" i="19"/>
  <c r="CI79" i="19"/>
  <c r="CJ79" i="19"/>
  <c r="CG79" i="19"/>
  <c r="CH79" i="19"/>
  <c r="CS54" i="19"/>
  <c r="CJ54" i="19"/>
  <c r="CI54" i="19"/>
  <c r="CH54" i="19"/>
  <c r="CG54" i="19"/>
  <c r="CI35" i="19"/>
  <c r="CH35" i="19"/>
  <c r="CS35" i="19"/>
  <c r="CJ35" i="19"/>
  <c r="CG35" i="19"/>
  <c r="CG45" i="19"/>
  <c r="CS45" i="19"/>
  <c r="CI45" i="19"/>
  <c r="CH45" i="19"/>
  <c r="CJ45" i="19"/>
  <c r="CA54" i="19"/>
  <c r="CC11" i="19"/>
  <c r="CD11" i="19" s="1"/>
  <c r="CB11" i="19"/>
  <c r="BV90" i="19"/>
  <c r="CC19" i="19"/>
  <c r="CD19" i="19" s="1"/>
  <c r="CA19" i="19"/>
  <c r="CC59" i="19"/>
  <c r="CD59" i="19" s="1"/>
  <c r="CA59" i="19"/>
  <c r="CB59" i="19" l="1"/>
  <c r="CA11" i="19"/>
  <c r="CC54" i="19"/>
  <c r="CD54" i="19" s="1"/>
  <c r="CA49" i="19"/>
  <c r="CA8" i="19"/>
  <c r="CB19" i="19"/>
  <c r="CA47" i="19"/>
  <c r="CB8" i="19"/>
  <c r="CC43" i="19"/>
  <c r="CD43" i="19" s="1"/>
  <c r="CB47" i="19"/>
  <c r="CC8" i="19"/>
  <c r="CD8" i="19" s="1"/>
  <c r="CA43" i="19"/>
  <c r="CC47" i="19"/>
  <c r="CD47" i="19" s="1"/>
  <c r="CB43" i="19"/>
  <c r="CB54" i="19"/>
  <c r="CC50" i="19"/>
  <c r="CD50" i="19" s="1"/>
  <c r="CA26" i="19"/>
  <c r="CB17" i="19"/>
  <c r="CC71" i="19"/>
  <c r="CD71" i="19" s="1"/>
  <c r="CC7" i="19"/>
  <c r="CD7" i="19" s="1"/>
  <c r="CC77" i="19"/>
  <c r="CD77" i="19" s="1"/>
  <c r="CC14" i="19"/>
  <c r="CD14" i="19" s="1"/>
  <c r="CB51" i="19"/>
  <c r="CA30" i="19"/>
  <c r="CA7" i="19"/>
  <c r="CB13" i="19"/>
  <c r="CC80" i="19"/>
  <c r="CD80" i="19" s="1"/>
  <c r="CA18" i="19"/>
  <c r="CA41" i="19"/>
  <c r="CC23" i="19"/>
  <c r="CD23" i="19" s="1"/>
  <c r="CC60" i="19"/>
  <c r="CD60" i="19" s="1"/>
  <c r="CB15" i="19"/>
  <c r="CB60" i="19"/>
  <c r="CA83" i="19"/>
  <c r="CC66" i="19"/>
  <c r="CD66" i="19" s="1"/>
  <c r="CA50" i="19"/>
  <c r="CC57" i="19"/>
  <c r="CD57" i="19" s="1"/>
  <c r="CA39" i="19"/>
  <c r="CB88" i="19"/>
  <c r="CN51" i="19"/>
  <c r="CP51" i="19" s="1"/>
  <c r="CK51" i="19"/>
  <c r="CL51" i="19"/>
  <c r="CK29" i="19"/>
  <c r="CL29" i="19"/>
  <c r="CN29" i="19"/>
  <c r="CP29" i="19" s="1"/>
  <c r="CK86" i="19"/>
  <c r="CN86" i="19"/>
  <c r="CP86" i="19" s="1"/>
  <c r="CL86" i="19"/>
  <c r="CC49" i="19"/>
  <c r="CD49" i="19" s="1"/>
  <c r="CB77" i="19"/>
  <c r="CA13" i="19"/>
  <c r="CC44" i="19"/>
  <c r="CD44" i="19" s="1"/>
  <c r="CN78" i="19"/>
  <c r="CP78" i="19" s="1"/>
  <c r="CL78" i="19"/>
  <c r="CK78" i="19"/>
  <c r="CN50" i="19"/>
  <c r="CP50" i="19" s="1"/>
  <c r="CL50" i="19"/>
  <c r="CK50" i="19"/>
  <c r="CA25" i="19"/>
  <c r="CA21" i="19"/>
  <c r="CN74" i="19"/>
  <c r="CP74" i="19" s="1"/>
  <c r="CL74" i="19"/>
  <c r="CK74" i="19"/>
  <c r="CA51" i="19"/>
  <c r="CA24" i="19"/>
  <c r="CB23" i="19"/>
  <c r="CK58" i="19"/>
  <c r="CL58" i="19"/>
  <c r="CN58" i="19"/>
  <c r="CP58" i="19" s="1"/>
  <c r="CB39" i="19"/>
  <c r="CA37" i="19"/>
  <c r="CB30" i="19"/>
  <c r="CB41" i="19"/>
  <c r="CC17" i="19"/>
  <c r="CD17" i="19" s="1"/>
  <c r="CA55" i="19"/>
  <c r="CC88" i="19"/>
  <c r="CD88" i="19" s="1"/>
  <c r="CB71" i="19"/>
  <c r="CN65" i="19"/>
  <c r="CP65" i="19" s="1"/>
  <c r="CL65" i="19"/>
  <c r="CK65" i="19"/>
  <c r="CB83" i="19"/>
  <c r="CN56" i="19"/>
  <c r="CP56" i="19" s="1"/>
  <c r="CL56" i="19"/>
  <c r="CK56" i="19"/>
  <c r="CN63" i="19"/>
  <c r="CP63" i="19" s="1"/>
  <c r="CK63" i="19"/>
  <c r="CL63" i="19"/>
  <c r="CN25" i="19"/>
  <c r="CP25" i="19" s="1"/>
  <c r="CK25" i="19"/>
  <c r="CL25" i="19"/>
  <c r="CL54" i="19"/>
  <c r="CN54" i="19"/>
  <c r="CP54" i="19" s="1"/>
  <c r="CK54" i="19"/>
  <c r="CN81" i="19"/>
  <c r="CP81" i="19" s="1"/>
  <c r="CL81" i="19"/>
  <c r="CK81" i="19"/>
  <c r="CN89" i="19"/>
  <c r="CP89" i="19" s="1"/>
  <c r="CK89" i="19"/>
  <c r="CL89" i="19"/>
  <c r="CL44" i="19"/>
  <c r="CK44" i="19"/>
  <c r="CN44" i="19"/>
  <c r="CP44" i="19" s="1"/>
  <c r="CA77" i="19"/>
  <c r="CB44" i="19"/>
  <c r="CL47" i="19"/>
  <c r="CN47" i="19"/>
  <c r="CP47" i="19" s="1"/>
  <c r="CK47" i="19"/>
  <c r="CK12" i="19"/>
  <c r="CL12" i="19"/>
  <c r="CN12" i="19"/>
  <c r="CP12" i="19" s="1"/>
  <c r="CN64" i="19"/>
  <c r="CP64" i="19" s="1"/>
  <c r="CK64" i="19"/>
  <c r="CL64" i="19"/>
  <c r="CB25" i="19"/>
  <c r="CB21" i="19"/>
  <c r="CL9" i="19"/>
  <c r="CN9" i="19"/>
  <c r="CP9" i="19" s="1"/>
  <c r="CK9" i="19"/>
  <c r="CK7" i="19"/>
  <c r="CL7" i="19"/>
  <c r="CN7" i="19"/>
  <c r="CP7" i="19" s="1"/>
  <c r="CC51" i="19"/>
  <c r="CD51" i="19" s="1"/>
  <c r="CB24" i="19"/>
  <c r="CC39" i="19"/>
  <c r="CD39" i="19" s="1"/>
  <c r="CB37" i="19"/>
  <c r="CC42" i="19"/>
  <c r="CD42" i="19" s="1"/>
  <c r="CC41" i="19"/>
  <c r="CD41" i="19" s="1"/>
  <c r="CN33" i="19"/>
  <c r="CP33" i="19" s="1"/>
  <c r="CL33" i="19"/>
  <c r="CK33" i="19"/>
  <c r="CA17" i="19"/>
  <c r="CB55" i="19"/>
  <c r="CB31" i="19"/>
  <c r="CA71" i="19"/>
  <c r="CL69" i="19"/>
  <c r="CK69" i="19"/>
  <c r="CN69" i="19"/>
  <c r="CP69" i="19" s="1"/>
  <c r="CC83" i="19"/>
  <c r="CD83" i="19" s="1"/>
  <c r="CN49" i="19"/>
  <c r="CP49" i="19" s="1"/>
  <c r="CL49" i="19"/>
  <c r="CK49" i="19"/>
  <c r="CN72" i="19"/>
  <c r="CP72" i="19" s="1"/>
  <c r="CK72" i="19"/>
  <c r="CL72" i="19"/>
  <c r="CN88" i="19"/>
  <c r="CP88" i="19" s="1"/>
  <c r="CK88" i="19"/>
  <c r="CL88" i="19"/>
  <c r="CN41" i="19"/>
  <c r="CP41" i="19" s="1"/>
  <c r="CL41" i="19"/>
  <c r="CK41" i="19"/>
  <c r="CN57" i="19"/>
  <c r="CP57" i="19" s="1"/>
  <c r="CK57" i="19"/>
  <c r="CL57" i="19"/>
  <c r="CN23" i="19"/>
  <c r="CP23" i="19" s="1"/>
  <c r="CK23" i="19"/>
  <c r="CL23" i="19"/>
  <c r="CB32" i="19"/>
  <c r="CA44" i="19"/>
  <c r="CN80" i="19"/>
  <c r="CP80" i="19" s="1"/>
  <c r="CK80" i="19"/>
  <c r="CL80" i="19"/>
  <c r="CN43" i="19"/>
  <c r="CP43" i="19" s="1"/>
  <c r="CK43" i="19"/>
  <c r="CL43" i="19"/>
  <c r="CC25" i="19"/>
  <c r="CD25" i="19" s="1"/>
  <c r="CC21" i="19"/>
  <c r="CD21" i="19" s="1"/>
  <c r="CN30" i="19"/>
  <c r="CP30" i="19" s="1"/>
  <c r="CK30" i="19"/>
  <c r="CL30" i="19"/>
  <c r="CB27" i="19"/>
  <c r="CC24" i="19"/>
  <c r="CD24" i="19" s="1"/>
  <c r="CN18" i="19"/>
  <c r="CP18" i="19" s="1"/>
  <c r="CK18" i="19"/>
  <c r="CL18" i="19"/>
  <c r="CN62" i="19"/>
  <c r="CP62" i="19" s="1"/>
  <c r="CL62" i="19"/>
  <c r="CK62" i="19"/>
  <c r="CA12" i="19"/>
  <c r="CC37" i="19"/>
  <c r="CD37" i="19" s="1"/>
  <c r="CA42" i="19"/>
  <c r="CN39" i="19"/>
  <c r="CP39" i="19" s="1"/>
  <c r="CL39" i="19"/>
  <c r="CK39" i="19"/>
  <c r="CN75" i="19"/>
  <c r="CP75" i="19" s="1"/>
  <c r="CL75" i="19"/>
  <c r="CK75" i="19"/>
  <c r="CB74" i="19"/>
  <c r="CA64" i="19"/>
  <c r="CC55" i="19"/>
  <c r="CD55" i="19" s="1"/>
  <c r="CA31" i="19"/>
  <c r="CK20" i="19"/>
  <c r="CL20" i="19"/>
  <c r="CN20" i="19"/>
  <c r="CP20" i="19" s="1"/>
  <c r="CN22" i="19"/>
  <c r="CP22" i="19" s="1"/>
  <c r="CK22" i="19"/>
  <c r="CL22" i="19"/>
  <c r="CN66" i="19"/>
  <c r="CP66" i="19" s="1"/>
  <c r="CL66" i="19"/>
  <c r="CK66" i="19"/>
  <c r="CB28" i="19"/>
  <c r="CN17" i="19"/>
  <c r="CP17" i="19" s="1"/>
  <c r="CK17" i="19"/>
  <c r="CL17" i="19"/>
  <c r="CN53" i="19"/>
  <c r="CP53" i="19" s="1"/>
  <c r="CK53" i="19"/>
  <c r="CL53" i="19"/>
  <c r="CN19" i="19"/>
  <c r="CP19" i="19" s="1"/>
  <c r="CK19" i="19"/>
  <c r="CL19" i="19"/>
  <c r="CN76" i="19"/>
  <c r="CP76" i="19" s="1"/>
  <c r="CL76" i="19"/>
  <c r="CK76" i="19"/>
  <c r="CB7" i="19"/>
  <c r="CA60" i="19"/>
  <c r="CN16" i="19"/>
  <c r="CP16" i="19" s="1"/>
  <c r="CK16" i="19"/>
  <c r="CL16" i="19"/>
  <c r="CK77" i="19"/>
  <c r="CL77" i="19"/>
  <c r="CN77" i="19"/>
  <c r="CP77" i="19" s="1"/>
  <c r="CB86" i="19"/>
  <c r="CA32" i="19"/>
  <c r="CL52" i="19"/>
  <c r="CK52" i="19"/>
  <c r="CN52" i="19"/>
  <c r="CP52" i="19" s="1"/>
  <c r="CN11" i="19"/>
  <c r="CP11" i="19" s="1"/>
  <c r="CK11" i="19"/>
  <c r="CL11" i="19"/>
  <c r="CN67" i="19"/>
  <c r="CP67" i="19" s="1"/>
  <c r="CL67" i="19"/>
  <c r="CK67" i="19"/>
  <c r="CC6" i="19"/>
  <c r="CN27" i="19"/>
  <c r="CP27" i="19" s="1"/>
  <c r="CK27" i="19"/>
  <c r="CL27" i="19"/>
  <c r="CL61" i="19"/>
  <c r="CN61" i="19"/>
  <c r="CP61" i="19" s="1"/>
  <c r="CK61" i="19"/>
  <c r="CN71" i="19"/>
  <c r="CP71" i="19" s="1"/>
  <c r="CL71" i="19"/>
  <c r="CK71" i="19"/>
  <c r="CA27" i="19"/>
  <c r="CB76" i="19"/>
  <c r="CN31" i="19"/>
  <c r="CP31" i="19" s="1"/>
  <c r="CL31" i="19"/>
  <c r="CK31" i="19"/>
  <c r="CK13" i="19"/>
  <c r="CN13" i="19"/>
  <c r="CP13" i="19" s="1"/>
  <c r="CL13" i="19"/>
  <c r="CC12" i="19"/>
  <c r="CD12" i="19" s="1"/>
  <c r="CA16" i="19"/>
  <c r="CB42" i="19"/>
  <c r="CA74" i="19"/>
  <c r="CB64" i="19"/>
  <c r="CB78" i="19"/>
  <c r="CC31" i="19"/>
  <c r="CD31" i="19" s="1"/>
  <c r="CK32" i="19"/>
  <c r="CL32" i="19"/>
  <c r="CN32" i="19"/>
  <c r="CP32" i="19" s="1"/>
  <c r="CH90" i="19"/>
  <c r="CL37" i="19"/>
  <c r="CK37" i="19"/>
  <c r="CN37" i="19"/>
  <c r="CP37" i="19" s="1"/>
  <c r="CN45" i="19"/>
  <c r="CP45" i="19" s="1"/>
  <c r="CK45" i="19"/>
  <c r="CL45" i="19"/>
  <c r="CN6" i="19"/>
  <c r="CP6" i="19" s="1"/>
  <c r="CK6" i="19"/>
  <c r="CL6" i="19"/>
  <c r="CC58" i="19"/>
  <c r="CD58" i="19" s="1"/>
  <c r="CC69" i="19"/>
  <c r="CD69" i="19" s="1"/>
  <c r="CC89" i="19"/>
  <c r="CD89" i="19" s="1"/>
  <c r="CA70" i="19"/>
  <c r="CA65" i="19"/>
  <c r="CC33" i="19"/>
  <c r="CD33" i="19" s="1"/>
  <c r="CA52" i="19"/>
  <c r="CC29" i="19"/>
  <c r="CD29" i="19" s="1"/>
  <c r="CA36" i="19"/>
  <c r="CC48" i="19"/>
  <c r="CD48" i="19" s="1"/>
  <c r="CB45" i="19"/>
  <c r="CA58" i="19"/>
  <c r="CC62" i="19"/>
  <c r="CD62" i="19" s="1"/>
  <c r="CA89" i="19"/>
  <c r="CC70" i="19"/>
  <c r="CD70" i="19" s="1"/>
  <c r="CB33" i="19"/>
  <c r="CC22" i="19"/>
  <c r="CD22" i="19" s="1"/>
  <c r="CC84" i="19"/>
  <c r="CD84" i="19" s="1"/>
  <c r="CB29" i="19"/>
  <c r="CC34" i="19"/>
  <c r="CD34" i="19" s="1"/>
  <c r="CC36" i="19"/>
  <c r="CD36" i="19" s="1"/>
  <c r="CA48" i="19"/>
  <c r="CC45" i="19"/>
  <c r="CD45" i="19" s="1"/>
  <c r="CB36" i="19"/>
  <c r="CC56" i="19"/>
  <c r="CD56" i="19" s="1"/>
  <c r="CB82" i="19"/>
  <c r="CB58" i="19"/>
  <c r="CB62" i="19"/>
  <c r="CB89" i="19"/>
  <c r="CA33" i="19"/>
  <c r="CA22" i="19"/>
  <c r="CC75" i="19"/>
  <c r="CD75" i="19" s="1"/>
  <c r="CB84" i="19"/>
  <c r="CA29" i="19"/>
  <c r="CC81" i="19"/>
  <c r="CD81" i="19" s="1"/>
  <c r="CA34" i="19"/>
  <c r="CC67" i="19"/>
  <c r="CD67" i="19" s="1"/>
  <c r="CB48" i="19"/>
  <c r="CC40" i="19"/>
  <c r="CD40" i="19" s="1"/>
  <c r="CA45" i="19"/>
  <c r="CC35" i="19"/>
  <c r="CD35" i="19" s="1"/>
  <c r="CB68" i="19"/>
  <c r="CA62" i="19"/>
  <c r="CC73" i="19"/>
  <c r="CD73" i="19" s="1"/>
  <c r="CB22" i="19"/>
  <c r="CC20" i="19"/>
  <c r="CD20" i="19" s="1"/>
  <c r="CA75" i="19"/>
  <c r="CA84" i="19"/>
  <c r="CC38" i="19"/>
  <c r="CD38" i="19" s="1"/>
  <c r="CB81" i="19"/>
  <c r="CB34" i="19"/>
  <c r="CB67" i="19"/>
  <c r="CB63" i="19"/>
  <c r="CB40" i="19"/>
  <c r="CC72" i="19"/>
  <c r="CD72" i="19" s="1"/>
  <c r="CB35" i="19"/>
  <c r="CA69" i="19"/>
  <c r="CA68" i="19"/>
  <c r="CB73" i="19"/>
  <c r="CA85" i="19"/>
  <c r="CB20" i="19"/>
  <c r="CB75" i="19"/>
  <c r="CB38" i="19"/>
  <c r="CA81" i="19"/>
  <c r="CC46" i="19"/>
  <c r="CD46" i="19" s="1"/>
  <c r="CA67" i="19"/>
  <c r="CA63" i="19"/>
  <c r="CA40" i="19"/>
  <c r="CB72" i="19"/>
  <c r="CA35" i="19"/>
  <c r="CC9" i="19"/>
  <c r="CD9" i="19" s="1"/>
  <c r="CB65" i="19"/>
  <c r="CB52" i="19"/>
  <c r="CC68" i="19"/>
  <c r="CD68" i="19" s="1"/>
  <c r="CC61" i="19"/>
  <c r="CD61" i="19" s="1"/>
  <c r="CA73" i="19"/>
  <c r="CC85" i="19"/>
  <c r="CD85" i="19" s="1"/>
  <c r="CA20" i="19"/>
  <c r="CA38" i="19"/>
  <c r="CB46" i="19"/>
  <c r="CC10" i="19"/>
  <c r="CD10" i="19" s="1"/>
  <c r="CC63" i="19"/>
  <c r="CD63" i="19" s="1"/>
  <c r="CB56" i="19"/>
  <c r="CA72" i="19"/>
  <c r="CC82" i="19"/>
  <c r="CD82" i="19" s="1"/>
  <c r="CA9" i="19"/>
  <c r="CB70" i="19"/>
  <c r="CA61" i="19"/>
  <c r="CB10" i="19"/>
  <c r="CB69" i="19"/>
  <c r="CC65" i="19"/>
  <c r="CD65" i="19" s="1"/>
  <c r="CB61" i="19"/>
  <c r="CC52" i="19"/>
  <c r="CD52" i="19" s="1"/>
  <c r="CB85" i="19"/>
  <c r="CA46" i="19"/>
  <c r="CA10" i="19"/>
  <c r="CA56" i="19"/>
  <c r="CA82" i="19"/>
  <c r="CB9" i="19"/>
  <c r="CA86" i="19"/>
  <c r="CC32" i="19"/>
  <c r="CD32" i="19" s="1"/>
  <c r="CK68" i="19"/>
  <c r="CN68" i="19"/>
  <c r="CP68" i="19" s="1"/>
  <c r="CL68" i="19"/>
  <c r="CN60" i="19"/>
  <c r="CP60" i="19" s="1"/>
  <c r="CL60" i="19"/>
  <c r="CK60" i="19"/>
  <c r="CK70" i="19"/>
  <c r="CN70" i="19"/>
  <c r="CP70" i="19" s="1"/>
  <c r="CL70" i="19"/>
  <c r="CA6" i="19"/>
  <c r="CN28" i="19"/>
  <c r="CP28" i="19" s="1"/>
  <c r="CK28" i="19"/>
  <c r="CL28" i="19"/>
  <c r="CC27" i="19"/>
  <c r="CD27" i="19" s="1"/>
  <c r="CA76" i="19"/>
  <c r="CA87" i="19"/>
  <c r="CB12" i="19"/>
  <c r="CB16" i="19"/>
  <c r="CC79" i="19"/>
  <c r="CD79" i="19" s="1"/>
  <c r="CL85" i="19"/>
  <c r="CN85" i="19"/>
  <c r="CP85" i="19" s="1"/>
  <c r="CK85" i="19"/>
  <c r="CN82" i="19"/>
  <c r="CP82" i="19" s="1"/>
  <c r="CL82" i="19"/>
  <c r="CK82" i="19"/>
  <c r="CN83" i="19"/>
  <c r="CP83" i="19" s="1"/>
  <c r="CL83" i="19"/>
  <c r="CK83" i="19"/>
  <c r="CC74" i="19"/>
  <c r="CD74" i="19" s="1"/>
  <c r="CC64" i="19"/>
  <c r="CD64" i="19" s="1"/>
  <c r="CA78" i="19"/>
  <c r="CC53" i="19"/>
  <c r="CD53" i="19" s="1"/>
  <c r="CN46" i="19"/>
  <c r="CP46" i="19" s="1"/>
  <c r="CK46" i="19"/>
  <c r="CL46" i="19"/>
  <c r="CC28" i="19"/>
  <c r="CD28" i="19" s="1"/>
  <c r="CN59" i="19"/>
  <c r="CP59" i="19" s="1"/>
  <c r="CK59" i="19"/>
  <c r="CL59" i="19"/>
  <c r="CK38" i="19"/>
  <c r="CL38" i="19"/>
  <c r="CN38" i="19"/>
  <c r="CP38" i="19" s="1"/>
  <c r="CK35" i="19"/>
  <c r="CL35" i="19"/>
  <c r="CN35" i="19"/>
  <c r="CP35" i="19" s="1"/>
  <c r="CK79" i="19"/>
  <c r="CN79" i="19"/>
  <c r="CP79" i="19" s="1"/>
  <c r="CL79" i="19"/>
  <c r="CN34" i="19"/>
  <c r="CP34" i="19" s="1"/>
  <c r="CK34" i="19"/>
  <c r="CL34" i="19"/>
  <c r="CI90" i="19"/>
  <c r="CN73" i="19"/>
  <c r="CP73" i="19" s="1"/>
  <c r="CL73" i="19"/>
  <c r="CK73" i="19"/>
  <c r="CC86" i="19"/>
  <c r="CD86" i="19" s="1"/>
  <c r="CC15" i="19"/>
  <c r="CD15" i="19" s="1"/>
  <c r="CL21" i="19"/>
  <c r="CK21" i="19"/>
  <c r="CN21" i="19"/>
  <c r="CP21" i="19" s="1"/>
  <c r="CN24" i="19"/>
  <c r="CP24" i="19" s="1"/>
  <c r="CL24" i="19"/>
  <c r="CK24" i="19"/>
  <c r="CB57" i="19"/>
  <c r="CB80" i="19"/>
  <c r="CA14" i="19"/>
  <c r="CL26" i="19"/>
  <c r="CN26" i="19"/>
  <c r="CP26" i="19" s="1"/>
  <c r="CK26" i="19"/>
  <c r="CC18" i="19"/>
  <c r="CD18" i="19" s="1"/>
  <c r="CC76" i="19"/>
  <c r="CD76" i="19" s="1"/>
  <c r="CN87" i="19"/>
  <c r="CP87" i="19" s="1"/>
  <c r="CL87" i="19"/>
  <c r="CK87" i="19"/>
  <c r="CC87" i="19"/>
  <c r="CD87" i="19" s="1"/>
  <c r="CC26" i="19"/>
  <c r="CD26" i="19" s="1"/>
  <c r="CC16" i="19"/>
  <c r="CD16" i="19" s="1"/>
  <c r="CB79" i="19"/>
  <c r="CK15" i="19"/>
  <c r="CN15" i="19"/>
  <c r="CP15" i="19" s="1"/>
  <c r="CL15" i="19"/>
  <c r="CN48" i="19"/>
  <c r="CP48" i="19" s="1"/>
  <c r="CK48" i="19"/>
  <c r="CL48" i="19"/>
  <c r="CN40" i="19"/>
  <c r="CP40" i="19" s="1"/>
  <c r="CK40" i="19"/>
  <c r="CL40" i="19"/>
  <c r="CA66" i="19"/>
  <c r="CC78" i="19"/>
  <c r="CD78" i="19" s="1"/>
  <c r="CA53" i="19"/>
  <c r="CL36" i="19"/>
  <c r="CK36" i="19"/>
  <c r="CN36" i="19"/>
  <c r="CP36" i="19" s="1"/>
  <c r="CN8" i="19"/>
  <c r="CP8" i="19" s="1"/>
  <c r="CK8" i="19"/>
  <c r="CL8" i="19"/>
  <c r="CG90" i="19"/>
  <c r="CL84" i="19"/>
  <c r="CK84" i="19"/>
  <c r="CN84" i="19"/>
  <c r="CP84" i="19" s="1"/>
  <c r="CB49" i="19"/>
  <c r="CB50" i="19"/>
  <c r="CN14" i="19"/>
  <c r="CP14" i="19" s="1"/>
  <c r="CK14" i="19"/>
  <c r="CL14" i="19"/>
  <c r="CC13" i="19"/>
  <c r="CD13" i="19" s="1"/>
  <c r="CA15" i="19"/>
  <c r="CN42" i="19"/>
  <c r="CP42" i="19" s="1"/>
  <c r="CL42" i="19"/>
  <c r="CK42" i="19"/>
  <c r="CN10" i="19"/>
  <c r="CP10" i="19" s="1"/>
  <c r="CK10" i="19"/>
  <c r="CL10" i="19"/>
  <c r="CA57" i="19"/>
  <c r="CA80" i="19"/>
  <c r="CB6" i="19"/>
  <c r="CB14" i="19"/>
  <c r="CB18" i="19"/>
  <c r="CA23" i="19"/>
  <c r="CB87" i="19"/>
  <c r="CB26" i="19"/>
  <c r="CC30" i="19"/>
  <c r="CD30" i="19" s="1"/>
  <c r="CA79" i="19"/>
  <c r="CB66" i="19"/>
  <c r="CA88" i="19"/>
  <c r="CB53" i="19"/>
  <c r="CN55" i="19"/>
  <c r="CP55" i="19" s="1"/>
  <c r="CK55" i="19"/>
  <c r="CL55" i="19"/>
  <c r="CQ85" i="19" l="1"/>
  <c r="CR85" i="19"/>
  <c r="CQ19" i="19"/>
  <c r="CT19" i="19" s="1"/>
  <c r="CR19" i="19"/>
  <c r="CR43" i="19"/>
  <c r="CQ43" i="19"/>
  <c r="CR12" i="19"/>
  <c r="CQ12" i="19"/>
  <c r="CT12" i="19" s="1"/>
  <c r="CQ10" i="19"/>
  <c r="CR10" i="19"/>
  <c r="CR15" i="19"/>
  <c r="CQ15" i="19"/>
  <c r="CR87" i="19"/>
  <c r="CQ87" i="19"/>
  <c r="CT87" i="19" s="1"/>
  <c r="CQ79" i="19"/>
  <c r="CR79" i="19"/>
  <c r="CK90" i="19"/>
  <c r="CK92" i="19" s="1"/>
  <c r="CR17" i="19"/>
  <c r="CQ17" i="19"/>
  <c r="CR22" i="19"/>
  <c r="CQ22" i="19"/>
  <c r="CQ23" i="19"/>
  <c r="CT23" i="19" s="1"/>
  <c r="CR23" i="19"/>
  <c r="CQ41" i="19"/>
  <c r="CR41" i="19"/>
  <c r="CR69" i="19"/>
  <c r="CQ69" i="19"/>
  <c r="CR44" i="19"/>
  <c r="CQ44" i="19"/>
  <c r="CQ81" i="19"/>
  <c r="CT81" i="19" s="1"/>
  <c r="CR81" i="19"/>
  <c r="CQ36" i="19"/>
  <c r="CR36" i="19"/>
  <c r="CQ40" i="19"/>
  <c r="CR40" i="19"/>
  <c r="CR21" i="19"/>
  <c r="CQ21" i="19"/>
  <c r="CR73" i="19"/>
  <c r="CQ73" i="19"/>
  <c r="CR60" i="19"/>
  <c r="CQ60" i="19"/>
  <c r="CR6" i="19"/>
  <c r="CQ6" i="19"/>
  <c r="CQ27" i="19"/>
  <c r="CR27" i="19"/>
  <c r="CR77" i="19"/>
  <c r="CQ77" i="19"/>
  <c r="CQ20" i="19"/>
  <c r="CR20" i="19"/>
  <c r="CR30" i="19"/>
  <c r="CQ30" i="19"/>
  <c r="CQ65" i="19"/>
  <c r="CR65" i="19"/>
  <c r="CR9" i="19"/>
  <c r="CQ9" i="19"/>
  <c r="CQ55" i="19"/>
  <c r="CR55" i="19"/>
  <c r="CB90" i="19"/>
  <c r="CR35" i="19"/>
  <c r="CQ35" i="19"/>
  <c r="CQ46" i="19"/>
  <c r="CR46" i="19"/>
  <c r="CQ83" i="19"/>
  <c r="CR83" i="19"/>
  <c r="CR28" i="19"/>
  <c r="CQ28" i="19"/>
  <c r="CR13" i="19"/>
  <c r="CQ13" i="19"/>
  <c r="CQ75" i="19"/>
  <c r="CR75" i="19"/>
  <c r="CQ33" i="19"/>
  <c r="CR33" i="19"/>
  <c r="CR63" i="19"/>
  <c r="CQ63" i="19"/>
  <c r="CR50" i="19"/>
  <c r="CQ50" i="19"/>
  <c r="CR86" i="19"/>
  <c r="CQ86" i="19"/>
  <c r="CQ18" i="19"/>
  <c r="CR18" i="19"/>
  <c r="CR25" i="19"/>
  <c r="CQ25" i="19"/>
  <c r="CQ14" i="19"/>
  <c r="CT14" i="19" s="1"/>
  <c r="CR14" i="19"/>
  <c r="CA90" i="19"/>
  <c r="CR71" i="19"/>
  <c r="CQ71" i="19"/>
  <c r="CC90" i="19"/>
  <c r="CD6" i="19"/>
  <c r="CD90" i="19" s="1"/>
  <c r="CD91" i="19" s="1"/>
  <c r="CQ11" i="19"/>
  <c r="CR11" i="19"/>
  <c r="CQ80" i="19"/>
  <c r="CR80" i="19"/>
  <c r="CR72" i="19"/>
  <c r="CQ72" i="19"/>
  <c r="CQ7" i="19"/>
  <c r="CR7" i="19"/>
  <c r="CR47" i="19"/>
  <c r="CQ47" i="19"/>
  <c r="CR54" i="19"/>
  <c r="CQ54" i="19"/>
  <c r="CT54" i="19" s="1"/>
  <c r="CR51" i="19"/>
  <c r="CQ51" i="19"/>
  <c r="CR67" i="19"/>
  <c r="CQ67" i="19"/>
  <c r="CR48" i="19"/>
  <c r="CQ48" i="19"/>
  <c r="CQ26" i="19"/>
  <c r="CR26" i="19"/>
  <c r="CR59" i="19"/>
  <c r="CQ59" i="19"/>
  <c r="CQ68" i="19"/>
  <c r="CR68" i="19"/>
  <c r="CQ45" i="19"/>
  <c r="CR45" i="19"/>
  <c r="CR32" i="19"/>
  <c r="CQ32" i="19"/>
  <c r="CT32" i="19" s="1"/>
  <c r="CR52" i="19"/>
  <c r="CQ52" i="19"/>
  <c r="CQ76" i="19"/>
  <c r="CR76" i="19"/>
  <c r="CR66" i="19"/>
  <c r="CQ66" i="19"/>
  <c r="CR62" i="19"/>
  <c r="CQ62" i="19"/>
  <c r="CT62" i="19" s="1"/>
  <c r="CR57" i="19"/>
  <c r="CQ57" i="19"/>
  <c r="CQ58" i="19"/>
  <c r="CR58" i="19"/>
  <c r="CQ74" i="19"/>
  <c r="CR74" i="19"/>
  <c r="CQ29" i="19"/>
  <c r="CR29" i="19"/>
  <c r="CQ42" i="19"/>
  <c r="CR42" i="19"/>
  <c r="CR8" i="19"/>
  <c r="CQ8" i="19"/>
  <c r="CQ70" i="19"/>
  <c r="CR70" i="19"/>
  <c r="CR61" i="19"/>
  <c r="CQ61" i="19"/>
  <c r="CQ53" i="19"/>
  <c r="CR53" i="19"/>
  <c r="CR88" i="19"/>
  <c r="CQ88" i="19"/>
  <c r="CR89" i="19"/>
  <c r="CQ89" i="19"/>
  <c r="CQ56" i="19"/>
  <c r="CR56" i="19"/>
  <c r="CR82" i="19"/>
  <c r="CQ82" i="19"/>
  <c r="CR84" i="19"/>
  <c r="CQ84" i="19"/>
  <c r="CQ24" i="19"/>
  <c r="CR24" i="19"/>
  <c r="CQ34" i="19"/>
  <c r="CR34" i="19"/>
  <c r="CQ38" i="19"/>
  <c r="CR38" i="19"/>
  <c r="CR37" i="19"/>
  <c r="CQ37" i="19"/>
  <c r="CR31" i="19"/>
  <c r="CQ31" i="19"/>
  <c r="CQ16" i="19"/>
  <c r="CR16" i="19"/>
  <c r="CR39" i="19"/>
  <c r="CQ39" i="19"/>
  <c r="CR49" i="19"/>
  <c r="CQ49" i="19"/>
  <c r="CQ64" i="19"/>
  <c r="CR64" i="19"/>
  <c r="CQ78" i="19"/>
  <c r="CR78" i="19"/>
  <c r="CT43" i="19" l="1"/>
  <c r="CT61" i="19"/>
  <c r="CT31" i="19"/>
  <c r="CT89" i="19"/>
  <c r="CT66" i="19"/>
  <c r="CT48" i="19"/>
  <c r="CT47" i="19"/>
  <c r="CT30" i="19"/>
  <c r="CT6" i="19"/>
  <c r="CT69" i="19"/>
  <c r="CT17" i="19"/>
  <c r="CT10" i="19"/>
  <c r="CT85" i="19"/>
  <c r="CT39" i="19"/>
  <c r="CT15" i="19"/>
  <c r="CT82" i="19"/>
  <c r="CT57" i="19"/>
  <c r="CT52" i="19"/>
  <c r="CT59" i="19"/>
  <c r="CT51" i="19"/>
  <c r="CT72" i="19"/>
  <c r="CT21" i="19"/>
  <c r="CT76" i="19"/>
  <c r="CT68" i="19"/>
  <c r="CT7" i="19"/>
  <c r="CT55" i="19"/>
  <c r="CT20" i="19"/>
  <c r="CT36" i="19"/>
  <c r="CT41" i="19"/>
  <c r="CT58" i="19"/>
  <c r="CT71" i="19"/>
  <c r="CT75" i="19"/>
  <c r="CT46" i="19"/>
  <c r="CT44" i="19"/>
  <c r="CT22" i="19"/>
  <c r="CT18" i="19"/>
  <c r="CT33" i="19"/>
  <c r="CT83" i="19"/>
  <c r="CT9" i="19"/>
  <c r="CT77" i="19"/>
  <c r="CT73" i="19"/>
  <c r="CT79" i="19"/>
  <c r="CT38" i="19"/>
  <c r="CT53" i="19"/>
  <c r="CT42" i="19"/>
  <c r="CT86" i="19"/>
  <c r="CT78" i="19"/>
  <c r="CT16" i="19"/>
  <c r="CT34" i="19"/>
  <c r="CT56" i="19"/>
  <c r="CT29" i="19"/>
  <c r="CT26" i="19"/>
  <c r="CT80" i="19"/>
  <c r="CT50" i="19"/>
  <c r="CT13" i="19"/>
  <c r="CT35" i="19"/>
  <c r="CT65" i="19"/>
  <c r="CT27" i="19"/>
  <c r="CT64" i="19"/>
  <c r="CT24" i="19"/>
  <c r="CT70" i="19"/>
  <c r="CT74" i="19"/>
  <c r="CT45" i="19"/>
  <c r="CT11" i="19"/>
  <c r="CT25" i="19"/>
  <c r="CT63" i="19"/>
  <c r="CT28" i="19"/>
  <c r="CT40" i="19"/>
  <c r="CT49" i="19"/>
  <c r="CT37" i="19"/>
  <c r="CT84" i="19"/>
  <c r="CT88" i="19"/>
  <c r="CT8" i="19"/>
  <c r="CT67" i="19"/>
  <c r="CT60" i="1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Lambe, Diana</author>
  </authors>
  <commentList>
    <comment ref="Q12" authorId="0" shapeId="0" xr:uid="{C0583483-BCB5-4007-8C1B-CB34A164BF89}">
      <text>
        <r>
          <rPr>
            <sz val="9"/>
            <color indexed="81"/>
            <rFont val="Tahoma"/>
            <family val="2"/>
          </rPr>
          <t>State Teaching Hospital is paid by legislature</t>
        </r>
        <r>
          <rPr>
            <b/>
            <sz val="9"/>
            <color indexed="81"/>
            <rFont val="Tahoma"/>
            <family val="2"/>
          </rPr>
          <t xml:space="preserve">
</t>
        </r>
      </text>
    </comment>
    <comment ref="Q20" authorId="0" shapeId="0" xr:uid="{987E3E9F-357B-47E5-92DE-3C12B8CFD48C}">
      <text>
        <r>
          <rPr>
            <sz val="9"/>
            <color indexed="81"/>
            <rFont val="Tahoma"/>
            <family val="2"/>
          </rPr>
          <t>State Teaching Hospital paid through legislature</t>
        </r>
      </text>
    </comment>
    <comment ref="V87" authorId="0" shapeId="0" xr:uid="{90A6584E-A841-44C7-85A8-B5F26D68A179}">
      <text>
        <r>
          <rPr>
            <sz val="9"/>
            <color indexed="81"/>
            <rFont val="Tahoma"/>
            <family val="2"/>
          </rPr>
          <t>Estimate by Dept.  All non-PPS hospitals will be able to submit calculations for their operating &amp; capital IME adjustments since it is not calculated by CMS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Lambe, Diana</author>
  </authors>
  <commentList>
    <comment ref="I13" authorId="0" shapeId="0" xr:uid="{CF5E9C1D-A4DE-4139-8F5A-DB9186C27CF7}">
      <text>
        <r>
          <rPr>
            <sz val="9"/>
            <color indexed="81"/>
            <rFont val="Tahoma"/>
            <family val="2"/>
          </rPr>
          <t>State Teaching Hospital paid through legislature</t>
        </r>
      </text>
    </comment>
    <comment ref="I21" authorId="0" shapeId="0" xr:uid="{276886E4-D2E3-4A61-99DC-7545441F4DE6}">
      <text>
        <r>
          <rPr>
            <sz val="9"/>
            <color indexed="81"/>
            <rFont val="Tahoma"/>
            <family val="2"/>
          </rPr>
          <t>State Teaching Hospital paid through legislature</t>
        </r>
        <r>
          <rPr>
            <b/>
            <sz val="9"/>
            <color indexed="81"/>
            <rFont val="Tahoma"/>
            <family val="2"/>
          </rPr>
          <t xml:space="preserve">
</t>
        </r>
      </text>
    </comment>
    <comment ref="R54" authorId="0" shapeId="0" xr:uid="{64FD090F-156E-4143-964D-9A5F4759F038}">
      <text>
        <r>
          <rPr>
            <b/>
            <sz val="9"/>
            <color indexed="81"/>
            <rFont val="Tahoma"/>
            <family val="2"/>
          </rPr>
          <t>added peer grp avg for budget calculation</t>
        </r>
      </text>
    </comment>
    <comment ref="R55" authorId="0" shapeId="0" xr:uid="{4E1BB09F-1437-41BC-AFFC-955D98CF504B}">
      <text>
        <r>
          <rPr>
            <b/>
            <sz val="9"/>
            <color indexed="81"/>
            <rFont val="Tahoma"/>
            <family val="2"/>
          </rPr>
          <t>added peer grp avg for budget calculation</t>
        </r>
      </text>
    </comment>
    <comment ref="D88" authorId="0" shapeId="0" xr:uid="{9496723E-035A-47D6-BFD6-D47A5433E766}">
      <text>
        <r>
          <rPr>
            <sz val="9"/>
            <color indexed="81"/>
            <rFont val="Tahoma"/>
            <family val="2"/>
          </rPr>
          <t>Estimate by Dept.  All non-PPS hospitals will be able to submit calculations for their operating &amp; capital IME adjustments since it is not calculated by CMS</t>
        </r>
      </text>
    </comment>
  </commentList>
</comments>
</file>

<file path=xl/sharedStrings.xml><?xml version="1.0" encoding="utf-8"?>
<sst xmlns="http://schemas.openxmlformats.org/spreadsheetml/2006/main" count="684" uniqueCount="291">
  <si>
    <t>CCN</t>
  </si>
  <si>
    <t>Children's</t>
  </si>
  <si>
    <t>Readmission adjustment</t>
  </si>
  <si>
    <t>HAC adjustment</t>
  </si>
  <si>
    <t xml:space="preserve">FY 2022 CMS Federal Base Rate / FY 2022 CN Tables 1A-1E </t>
  </si>
  <si>
    <t xml:space="preserve"> </t>
  </si>
  <si>
    <t>FY 2022 CMS Impact File CN</t>
  </si>
  <si>
    <t>Most Recently Audited Cost Report &amp; Internal MMIS clm cts</t>
  </si>
  <si>
    <t>Applied to Whole Fed Base Rate w/Adj</t>
  </si>
  <si>
    <t>Medicare ID (Numeric w/out leading 0)</t>
  </si>
  <si>
    <t>Medicare ID (Text)</t>
  </si>
  <si>
    <t>Medicare Federal Base Rate w/Wage Index/GAF Adj for PPS Hospitals / No Adj for Non-PPS Hospitals</t>
  </si>
  <si>
    <t>VBP AMT</t>
  </si>
  <si>
    <t>CMS IMPACT FILE
PROXY READMISSION FACTOR</t>
  </si>
  <si>
    <t>READMISSION AMT</t>
  </si>
  <si>
    <t>Hospital-Acquired Condition (HAC) Reduction Program File
HAC REDUCTION INDICATOR Y=YES</t>
  </si>
  <si>
    <t>HAC REDUCTION</t>
  </si>
  <si>
    <t>C</t>
  </si>
  <si>
    <t>I</t>
  </si>
  <si>
    <t>J</t>
  </si>
  <si>
    <t>K</t>
  </si>
  <si>
    <t>L</t>
  </si>
  <si>
    <t>M</t>
  </si>
  <si>
    <t>N</t>
  </si>
  <si>
    <t>O</t>
  </si>
  <si>
    <t>P</t>
  </si>
  <si>
    <t>Q</t>
  </si>
  <si>
    <t>R</t>
  </si>
  <si>
    <t>S</t>
  </si>
  <si>
    <t>T</t>
  </si>
  <si>
    <t>U</t>
  </si>
  <si>
    <t>V</t>
  </si>
  <si>
    <t>W</t>
  </si>
  <si>
    <t>X</t>
  </si>
  <si>
    <t>Y</t>
  </si>
  <si>
    <t>Z</t>
  </si>
  <si>
    <t>AA</t>
  </si>
  <si>
    <t>AB</t>
  </si>
  <si>
    <t>AC</t>
  </si>
  <si>
    <t>2</t>
  </si>
  <si>
    <t>060001</t>
  </si>
  <si>
    <t>No</t>
  </si>
  <si>
    <t>060003</t>
  </si>
  <si>
    <t>Yes</t>
  </si>
  <si>
    <t>060004</t>
  </si>
  <si>
    <t>060006</t>
  </si>
  <si>
    <t>060008</t>
  </si>
  <si>
    <t>060009</t>
  </si>
  <si>
    <t>060010</t>
  </si>
  <si>
    <t>060011</t>
  </si>
  <si>
    <t>060012</t>
  </si>
  <si>
    <t>060013</t>
  </si>
  <si>
    <t>060014</t>
  </si>
  <si>
    <t>060015</t>
  </si>
  <si>
    <t>060020</t>
  </si>
  <si>
    <t>060022</t>
  </si>
  <si>
    <t>060023</t>
  </si>
  <si>
    <t>060024</t>
  </si>
  <si>
    <t>060027</t>
  </si>
  <si>
    <t>060028</t>
  </si>
  <si>
    <t>060030</t>
  </si>
  <si>
    <t>060031</t>
  </si>
  <si>
    <t>060032</t>
  </si>
  <si>
    <t>060034</t>
  </si>
  <si>
    <t>060044</t>
  </si>
  <si>
    <t>060049</t>
  </si>
  <si>
    <t>060054</t>
  </si>
  <si>
    <t>060064</t>
  </si>
  <si>
    <t>060065</t>
  </si>
  <si>
    <t>060071</t>
  </si>
  <si>
    <t>060075</t>
  </si>
  <si>
    <t>060076</t>
  </si>
  <si>
    <t>060096</t>
  </si>
  <si>
    <t>060100</t>
  </si>
  <si>
    <t>060103</t>
  </si>
  <si>
    <t>060104</t>
  </si>
  <si>
    <t>060107</t>
  </si>
  <si>
    <t>060112</t>
  </si>
  <si>
    <t>060113</t>
  </si>
  <si>
    <t>060114</t>
  </si>
  <si>
    <t>060116</t>
  </si>
  <si>
    <t>060117</t>
  </si>
  <si>
    <t>060118</t>
  </si>
  <si>
    <t>060119</t>
  </si>
  <si>
    <t>060124</t>
  </si>
  <si>
    <t>060125</t>
  </si>
  <si>
    <t>060126</t>
  </si>
  <si>
    <t>060128</t>
  </si>
  <si>
    <t>060129</t>
  </si>
  <si>
    <t>060130</t>
  </si>
  <si>
    <t>060131</t>
  </si>
  <si>
    <t>060132</t>
  </si>
  <si>
    <t>061300</t>
  </si>
  <si>
    <t>NA</t>
  </si>
  <si>
    <t>061301</t>
  </si>
  <si>
    <t>061302</t>
  </si>
  <si>
    <t>061303</t>
  </si>
  <si>
    <t>061304</t>
  </si>
  <si>
    <t>061305</t>
  </si>
  <si>
    <t>061306</t>
  </si>
  <si>
    <t>061307</t>
  </si>
  <si>
    <t>061308</t>
  </si>
  <si>
    <t>061309</t>
  </si>
  <si>
    <t>061310</t>
  </si>
  <si>
    <t>061311</t>
  </si>
  <si>
    <t>061312</t>
  </si>
  <si>
    <t>061313</t>
  </si>
  <si>
    <t>061314</t>
  </si>
  <si>
    <t>061315</t>
  </si>
  <si>
    <t>061316</t>
  </si>
  <si>
    <t>061317</t>
  </si>
  <si>
    <t>061318</t>
  </si>
  <si>
    <t>061319</t>
  </si>
  <si>
    <t>061320</t>
  </si>
  <si>
    <t>061321</t>
  </si>
  <si>
    <t>061322</t>
  </si>
  <si>
    <t>061323</t>
  </si>
  <si>
    <t>061324</t>
  </si>
  <si>
    <t>061325</t>
  </si>
  <si>
    <t>061326</t>
  </si>
  <si>
    <t>061327</t>
  </si>
  <si>
    <t>061328</t>
  </si>
  <si>
    <t>061336</t>
  </si>
  <si>
    <t>061343</t>
  </si>
  <si>
    <t>061344</t>
  </si>
  <si>
    <t>063301</t>
  </si>
  <si>
    <t>063303</t>
  </si>
  <si>
    <t>Add-on percentage</t>
  </si>
  <si>
    <t>No change from current methodology - works exactly the same as always</t>
  </si>
  <si>
    <t>BUDGET NEUTRALITY</t>
  </si>
  <si>
    <t>Procedure to ensure budget neutrality factor limits IP Base Rate change from year to year to +/-10% without immediately using the outler limits of the corridor</t>
  </si>
  <si>
    <t>Ceiling</t>
  </si>
  <si>
    <t>na</t>
  </si>
  <si>
    <t>SBA FY 21-22:</t>
  </si>
  <si>
    <t>Vol inflator FY21-22:</t>
  </si>
  <si>
    <t>Floor</t>
  </si>
  <si>
    <t>SBA FY 22-23:</t>
  </si>
  <si>
    <t>BUDGET NEUTRALITY FACTOR</t>
  </si>
  <si>
    <t>Actual Corridor Set to:</t>
  </si>
  <si>
    <t>Initial Budget / Estimate</t>
  </si>
  <si>
    <t>New Budget/Estimate</t>
  </si>
  <si>
    <t>Round 2 Budget/Estimate ratio</t>
  </si>
  <si>
    <t>Round 3 Budget/Estimate ratio</t>
  </si>
  <si>
    <t>Round 4 Budget/Estimate ratio</t>
  </si>
  <si>
    <t>Caseload Expected Growth Rate:</t>
  </si>
  <si>
    <t>CCN / MEDICARE ID W/OUT LEADING 0</t>
  </si>
  <si>
    <t>Medicare Wage-adjusted base rate</t>
  </si>
  <si>
    <t>IME adjustment (Operating &amp; Capital)</t>
  </si>
  <si>
    <t>VBP Adjustment</t>
  </si>
  <si>
    <t>Medicare-based rate Adjustments</t>
  </si>
  <si>
    <r>
      <t xml:space="preserve">GME COST ADD-ON </t>
    </r>
    <r>
      <rPr>
        <sz val="9"/>
        <color theme="1"/>
        <rFont val="Calibri"/>
        <family val="2"/>
        <scheme val="minor"/>
      </rPr>
      <t>(10% of Medicaid Cost Per Discharge) 
 (FY20-21 Amounts)</t>
    </r>
  </si>
  <si>
    <t>Solvency Metric:  Operating Cash Flow Margin % add-on</t>
  </si>
  <si>
    <t>Rate with all policy adjustments</t>
  </si>
  <si>
    <t>FY20-21 Base Rate (new hosp not present in FY19-20 get peer grp avg)</t>
  </si>
  <si>
    <t>FY20-21 Base Rate with State Budget Actions (SBA) FY21-22 Applied 
(Q*R2)</t>
  </si>
  <si>
    <t>FY21-22 BUDGET CALCULATION (based on FY20-21 claims w/SBA &amp; Caseload growth applied)</t>
  </si>
  <si>
    <t>FY20-21 Case Mix Index</t>
  </si>
  <si>
    <t xml:space="preserve">FY21-22 
Estimated Payments using New Base Rates before budget neutrality or cooridor </t>
  </si>
  <si>
    <t>Corridor Minimum Allowed
- 10%</t>
  </si>
  <si>
    <t>Corridor Maximum Allowed
+ 10%</t>
  </si>
  <si>
    <r>
      <rPr>
        <b/>
        <sz val="16"/>
        <rFont val="Calibri"/>
        <family val="2"/>
        <scheme val="minor"/>
      </rPr>
      <t>Round 1</t>
    </r>
    <r>
      <rPr>
        <b/>
        <sz val="10"/>
        <rFont val="Calibri"/>
        <family val="2"/>
        <scheme val="minor"/>
      </rPr>
      <t xml:space="preserve">  Calculated Base Rate</t>
    </r>
  </si>
  <si>
    <r>
      <t xml:space="preserve">Non-Capped Spend 
</t>
    </r>
    <r>
      <rPr>
        <sz val="8"/>
        <rFont val="Calibri"/>
        <family val="2"/>
        <scheme val="minor"/>
      </rPr>
      <t>/ Spend based on Calculated Base Rate * CMI * Claim w/Growth Rate Factors Applied</t>
    </r>
  </si>
  <si>
    <t>Cap Low</t>
  </si>
  <si>
    <t>Cap High</t>
  </si>
  <si>
    <t>Capped Rates</t>
  </si>
  <si>
    <t>Capped Spend</t>
  </si>
  <si>
    <t>Non-Locked Estimate</t>
  </si>
  <si>
    <t>Non-Locked Budget and Locked Residuals</t>
  </si>
  <si>
    <t>Locked</t>
  </si>
  <si>
    <r>
      <rPr>
        <b/>
        <sz val="16"/>
        <rFont val="Calibri"/>
        <family val="2"/>
        <scheme val="minor"/>
      </rPr>
      <t>Round 2</t>
    </r>
    <r>
      <rPr>
        <b/>
        <sz val="10"/>
        <rFont val="Calibri"/>
        <family val="2"/>
        <scheme val="minor"/>
      </rPr>
      <t xml:space="preserve">
</t>
    </r>
    <r>
      <rPr>
        <sz val="8"/>
        <rFont val="Calibri"/>
        <family val="2"/>
        <scheme val="minor"/>
      </rPr>
      <t>/ Capped Rate or Calc Base Rate * New Budget Neutrality</t>
    </r>
  </si>
  <si>
    <t>Non-Capped Spend</t>
  </si>
  <si>
    <r>
      <t xml:space="preserve">Check </t>
    </r>
    <r>
      <rPr>
        <sz val="10"/>
        <rFont val="Calibri"/>
        <family val="2"/>
        <scheme val="minor"/>
      </rPr>
      <t>(when check sum equals 0 then final round)</t>
    </r>
  </si>
  <si>
    <t>Round 3</t>
  </si>
  <si>
    <t>Round 4</t>
  </si>
  <si>
    <t>Round 5</t>
  </si>
  <si>
    <t>Re-check</t>
  </si>
  <si>
    <t xml:space="preserve">FINAL RATES TO ACHIEVE BUDGET NEUTRALITY &amp; MAINTAIN CORRIDOR </t>
  </si>
  <si>
    <t>Capped Rate Percent</t>
  </si>
  <si>
    <t>Budget Neutrality</t>
  </si>
  <si>
    <t>this number needs to be 0</t>
  </si>
  <si>
    <t>=VLOOKUP($B6,'Fed Base Rate GME IME'!$C$16:$AC$99,14,FALSE)</t>
  </si>
  <si>
    <t>Urban (0), Rural (1), Pediatric (2)</t>
  </si>
  <si>
    <t>Banner Health</t>
  </si>
  <si>
    <t>UCHealth</t>
  </si>
  <si>
    <t>SCL Health</t>
  </si>
  <si>
    <t>San Luis Valley Health</t>
  </si>
  <si>
    <t>HealthONE</t>
  </si>
  <si>
    <t>Centura Health Adventist</t>
  </si>
  <si>
    <t>Centura Health CHI</t>
  </si>
  <si>
    <t>LifePoint Health</t>
  </si>
  <si>
    <t>Quartile 1=</t>
  </si>
  <si>
    <r>
      <t xml:space="preserve">Up to 3-year average Medicaid Payer Mix
</t>
    </r>
    <r>
      <rPr>
        <sz val="8"/>
        <rFont val="Calibri"/>
        <family val="2"/>
        <scheme val="minor"/>
      </rPr>
      <t xml:space="preserve"> (Hosp Cost Reports HCRIS 2018-2020)</t>
    </r>
  </si>
  <si>
    <r>
      <t xml:space="preserve">2019/20 Oper Cashflow Margin %
</t>
    </r>
    <r>
      <rPr>
        <sz val="8"/>
        <rFont val="Calibri"/>
        <family val="2"/>
        <scheme val="minor"/>
      </rPr>
      <t>(raw data for Solvency Metric)</t>
    </r>
  </si>
  <si>
    <t>missing one year</t>
  </si>
  <si>
    <t>N/A</t>
  </si>
  <si>
    <t>no data</t>
  </si>
  <si>
    <t>FY21-22 Estimated Discharges (FY20-21 discharges adjusted by Inflated by HCPF Budget Caseload Growth Rate)</t>
  </si>
  <si>
    <t>FY 2022 Federal Base Rate / FY 2022 CN Tables 1A-1E</t>
  </si>
  <si>
    <t>PPS HOSPITALS</t>
  </si>
  <si>
    <t>NON-PPS HOSPITALS</t>
  </si>
  <si>
    <t>Wage Index &gt; 1</t>
  </si>
  <si>
    <t>Wage Index &lt;= 1</t>
  </si>
  <si>
    <t>Labor-related Amount</t>
  </si>
  <si>
    <t>Nonlabor-related Amount</t>
  </si>
  <si>
    <t>Capital Std Fed Pmt Rate</t>
  </si>
  <si>
    <t>TOTAL:</t>
  </si>
  <si>
    <t>Medicare does not provide Wage Index or Geographic Adjustment Factor (GAF) for non-PPS hospitals.  The Department will be assigning them the following figures for the Federal Base Rate.  The number 1.00 will appear in the Wage Index and GAF calculations to produce a result.</t>
  </si>
  <si>
    <t>FY 2022 Correcting Amendment Tables 1A-1E</t>
  </si>
  <si>
    <t>TABLE 1A.  FINAL RULE NATIONAL ADJUSTED OPERATING STANDARDIZED AMOUNTS; LABOR/NONLABOR (67.6 PERCENT LABOR SHARE/32.4 PERCENT NONLABOR SHARE IF WAGE INDEX GREATER THAN 1)</t>
  </si>
  <si>
    <t>Hospital Submitted Quality Data and is a Meaningful EHR User (Update = 2.00 Percent)</t>
  </si>
  <si>
    <t>Hospital Submitted Quality Data and is NOT a Meaningful EHR User (Update = -0.025 Percent)</t>
  </si>
  <si>
    <t>Hospital Did NOT Submit Quality Data and is a Meaningful EHR User (Update = 1.325 Percent)</t>
  </si>
  <si>
    <t>Hospital Did NOT Submit Quality Data and is NOT a Meaningful EHR User
 (Update = -0.7 Percent)</t>
  </si>
  <si>
    <t>Labor-related</t>
  </si>
  <si>
    <t>Nonlabor-related</t>
  </si>
  <si>
    <t>TABLE 1B.  FINAL RULE NATIONAL ADJUSTED OPERATING STANDARDIZED AMOUNTS, LABOR/NONLABOR (62 PERCENT LABOR SHARE/38 PERCENT NONLABOR SHARE IF WAGE INDEX LESS THAN OR EQUAL TO 1)</t>
  </si>
  <si>
    <t>TABLE 1C.  FINAL RULE ADJUSTED OPERATING STANDARDIZED AMOUNTS FOR HOSPITALS IN PUERTO RICO, LABOR/NONLABOR (NATIONAL:  62 PERCENT LABOR SHARE/38 PERCENT NONLABOR SHARE BECAUSE WAGE INDEX IS LESS THAN OR EQUAL TO 1)</t>
  </si>
  <si>
    <t>Rates if Wage Index Greater Than 1</t>
  </si>
  <si>
    <t>Hospital is a Meaningful EHR User and Wage Index Less Than or Equal to 1 (Update = 2.00)</t>
  </si>
  <si>
    <t xml:space="preserve">Hospital is NOT a Meaningful EHR User and Wage Index Less Than or Equal to 1 
(Update = 1.325)
</t>
  </si>
  <si>
    <t>Labor</t>
  </si>
  <si>
    <t>Nonlabor</t>
  </si>
  <si>
    <r>
      <t>National</t>
    </r>
    <r>
      <rPr>
        <vertAlign val="superscript"/>
        <sz val="10"/>
        <rFont val="Arial"/>
        <family val="2"/>
      </rPr>
      <t>1</t>
    </r>
  </si>
  <si>
    <t>Not Applicable</t>
  </si>
  <si>
    <r>
      <rPr>
        <vertAlign val="superscript"/>
        <sz val="10"/>
        <rFont val="Arial"/>
        <family val="2"/>
      </rPr>
      <t>1</t>
    </r>
    <r>
      <rPr>
        <sz val="10"/>
        <rFont val="Arial"/>
        <family val="2"/>
      </rPr>
      <t>For FY 2022, there are no CBSAs in Puerto Rico with a national wage index greater than 1.</t>
    </r>
  </si>
  <si>
    <t>TABLE 1D. - CAPITAL STANDARD FEDERAL PAYMENT RATE</t>
  </si>
  <si>
    <t>Rate</t>
  </si>
  <si>
    <t>National</t>
  </si>
  <si>
    <t xml:space="preserve">TABLE 1E- LTCH PPS STANDARD FEDERAL PAYMENT RATE
</t>
  </si>
  <si>
    <t>Full Update (1.9 Percent)</t>
  </si>
  <si>
    <t>Reduced Update* (-0.1 Percent)</t>
  </si>
  <si>
    <r>
      <t>Standard Federal Rate</t>
    </r>
    <r>
      <rPr>
        <vertAlign val="superscript"/>
        <sz val="10"/>
        <rFont val="Arial"/>
        <family val="2"/>
      </rPr>
      <t>*</t>
    </r>
  </si>
  <si>
    <t>* For LTCHs that fail to submit quality reporting data for FY 2022 in accordance with the LTCH Quality Reporting Program (LTCH QRP), the annual update is reduced by 2.0 percentage points as required by section 1886(m)(5) of the Act.</t>
  </si>
  <si>
    <t>Note:  For ease of application, all hospitals are assumed to have submitted Quality Data and be meaningful EHR users</t>
  </si>
  <si>
    <t>Final Ratio for budget neutrality</t>
  </si>
  <si>
    <t>FINAL RATES WILL BE DIFFERENT FROM DEPARTMENT VERSION DUE TO HIPAA ADJ CLAIM CTS</t>
  </si>
  <si>
    <r>
      <t xml:space="preserve">GME COST ADD-ON
</t>
    </r>
    <r>
      <rPr>
        <b/>
        <sz val="9"/>
        <rFont val="Calibri"/>
        <family val="2"/>
        <scheme val="minor"/>
      </rPr>
      <t>(10% of Medicaid Cost Per Discharge)</t>
    </r>
    <r>
      <rPr>
        <b/>
        <sz val="11"/>
        <rFont val="Calibri"/>
        <family val="2"/>
        <scheme val="minor"/>
      </rPr>
      <t xml:space="preserve"> 
 </t>
    </r>
    <r>
      <rPr>
        <b/>
        <sz val="8"/>
        <rFont val="Calibri"/>
        <family val="2"/>
        <scheme val="minor"/>
      </rPr>
      <t>(FY20-21 Amounts)</t>
    </r>
  </si>
  <si>
    <r>
      <t xml:space="preserve">Operating IME %
</t>
    </r>
    <r>
      <rPr>
        <sz val="8"/>
        <rFont val="Calibri"/>
        <family val="2"/>
        <scheme val="minor"/>
      </rPr>
      <t xml:space="preserve"> (Source Impact File - Final Rule)</t>
    </r>
    <r>
      <rPr>
        <sz val="11"/>
        <rFont val="Calibri"/>
        <family val="2"/>
        <scheme val="minor"/>
      </rPr>
      <t xml:space="preserve">
TCHOP</t>
    </r>
  </si>
  <si>
    <r>
      <t xml:space="preserve">Capital IME %
</t>
    </r>
    <r>
      <rPr>
        <sz val="8"/>
        <rFont val="Calibri"/>
        <family val="2"/>
        <scheme val="minor"/>
      </rPr>
      <t xml:space="preserve"> (Source Impact File - Final Rule)</t>
    </r>
    <r>
      <rPr>
        <sz val="11"/>
        <rFont val="Calibri"/>
        <family val="2"/>
        <scheme val="minor"/>
      </rPr>
      <t xml:space="preserve">
TCHCP</t>
    </r>
  </si>
  <si>
    <r>
      <t xml:space="preserve">IME OPERATING/CAPITAL COMBINED
</t>
    </r>
    <r>
      <rPr>
        <b/>
        <sz val="8"/>
        <rFont val="Calibri"/>
        <family val="2"/>
        <scheme val="minor"/>
      </rPr>
      <t>(T+U)</t>
    </r>
  </si>
  <si>
    <t>APPLIED TO OPERATING FED PORTION WITH ADJ WAGE INDEX (Col L)</t>
  </si>
  <si>
    <t>System Ownership based on Special Financing &amp; Chase</t>
  </si>
  <si>
    <t>Non-PPS Medicare Hospitals = 1</t>
  </si>
  <si>
    <r>
      <t xml:space="preserve">Non-labor Related Amount
</t>
    </r>
    <r>
      <rPr>
        <sz val="8"/>
        <rFont val="Calibri"/>
        <family val="2"/>
        <scheme val="minor"/>
      </rPr>
      <t xml:space="preserve"> (Source:  FY2022 CN Tables 1A-1E)</t>
    </r>
  </si>
  <si>
    <r>
      <t xml:space="preserve">Wage Index
</t>
    </r>
    <r>
      <rPr>
        <sz val="8"/>
        <rFont val="Calibri"/>
        <family val="2"/>
        <scheme val="minor"/>
      </rPr>
      <t xml:space="preserve"> (Source:  Final Rule Impact File FY2022)
Non-PPS Hospital Wage Index &amp; GAF=1.00</t>
    </r>
  </si>
  <si>
    <r>
      <t xml:space="preserve">GAF (Geographic Adjustment Factor)
</t>
    </r>
    <r>
      <rPr>
        <sz val="8"/>
        <rFont val="Calibri"/>
        <family val="2"/>
        <scheme val="minor"/>
      </rPr>
      <t xml:space="preserve"> (Source:  Final Rule Impact File FY2022)
Non-PPS Hospital Wage Index &amp; GAF=1.00</t>
    </r>
  </si>
  <si>
    <r>
      <t xml:space="preserve">Medicare Labor-related amount 
</t>
    </r>
    <r>
      <rPr>
        <sz val="8"/>
        <rFont val="Calibri"/>
        <family val="2"/>
        <scheme val="minor"/>
      </rPr>
      <t xml:space="preserve"> (Source:  FY2022 CN Tables 1A-1E)</t>
    </r>
  </si>
  <si>
    <r>
      <t xml:space="preserve">Operating Federal Portion w/Wage Index Adjustment
</t>
    </r>
    <r>
      <rPr>
        <sz val="8"/>
        <rFont val="Calibri"/>
        <family val="2"/>
        <scheme val="minor"/>
      </rPr>
      <t>((I*J)+K)</t>
    </r>
  </si>
  <si>
    <r>
      <t xml:space="preserve">Federal Capital Rate
</t>
    </r>
    <r>
      <rPr>
        <sz val="8"/>
        <rFont val="Calibri"/>
        <family val="2"/>
        <scheme val="minor"/>
      </rPr>
      <t xml:space="preserve"> (Source:  FY2022 CN Tables 1A-1E)</t>
    </r>
  </si>
  <si>
    <r>
      <t xml:space="preserve">Adjusted Federal Capital Rate
</t>
    </r>
    <r>
      <rPr>
        <sz val="8"/>
        <rFont val="Calibri"/>
        <family val="2"/>
        <scheme val="minor"/>
      </rPr>
      <t xml:space="preserve"> (Source Impact File - Final Rule)  (M*N)</t>
    </r>
  </si>
  <si>
    <r>
      <t xml:space="preserve">Operating IME ADD-On for PPS Hospitals who Qualify
</t>
    </r>
    <r>
      <rPr>
        <sz val="8"/>
        <rFont val="Calibri"/>
        <family val="2"/>
        <scheme val="minor"/>
      </rPr>
      <t>(L*R)</t>
    </r>
  </si>
  <si>
    <r>
      <t xml:space="preserve">Capital IME ADD-On for PPS Hospitals who Qualify
</t>
    </r>
    <r>
      <rPr>
        <sz val="8"/>
        <rFont val="Calibri"/>
        <family val="2"/>
        <scheme val="minor"/>
      </rPr>
      <t>(O*S)</t>
    </r>
  </si>
  <si>
    <t xml:space="preserve"> CMS IMPACT FILE
Proxy Value Based Purchasing (VBP) Adjustment Factor</t>
  </si>
  <si>
    <r>
      <t xml:space="preserve">Medicare HAC Reduction = 1%
</t>
    </r>
    <r>
      <rPr>
        <sz val="8"/>
        <rFont val="Calibri"/>
        <family val="2"/>
        <scheme val="minor"/>
      </rPr>
      <t>(Applied to Federal Base Rate with Adj (Column P)</t>
    </r>
    <r>
      <rPr>
        <b/>
        <sz val="11"/>
        <rFont val="Calibri"/>
        <family val="2"/>
        <scheme val="minor"/>
      </rPr>
      <t>)</t>
    </r>
  </si>
  <si>
    <r>
      <rPr>
        <b/>
        <sz val="14"/>
        <color theme="1"/>
        <rFont val="Calibri"/>
        <family val="2"/>
        <scheme val="minor"/>
      </rPr>
      <t>SOLVENCY METRIC:  OPERATING CASHFLOW MARGIN %</t>
    </r>
    <r>
      <rPr>
        <b/>
        <sz val="11"/>
        <color theme="1"/>
        <rFont val="Calibri"/>
        <family val="2"/>
        <scheme val="minor"/>
      </rPr>
      <t xml:space="preserve">
Data Source:</t>
    </r>
    <r>
      <rPr>
        <sz val="11"/>
        <color theme="1"/>
        <rFont val="Calibri"/>
        <family val="2"/>
        <scheme val="minor"/>
      </rPr>
      <t xml:space="preserve"> Currently using 2019/20 of Hospital Transparency Data from Special Financing.   We plan to use 3 year’s worth of data for implementation of model planned for SFY 22-23, but this will be dependent on whether data is available. 
</t>
    </r>
    <r>
      <rPr>
        <b/>
        <sz val="11"/>
        <color theme="1"/>
        <rFont val="Calibri"/>
        <family val="2"/>
        <scheme val="minor"/>
      </rPr>
      <t>Data Point</t>
    </r>
    <r>
      <rPr>
        <sz val="11"/>
        <color theme="1"/>
        <rFont val="Calibri"/>
        <family val="2"/>
        <scheme val="minor"/>
      </rPr>
      <t xml:space="preserve">: Operating Cash Flow Margin (%) based on max of system or individual hospital for system hospitals. A hospital's independent or system classification is compiled by Special Financing and *CHASE. 
</t>
    </r>
    <r>
      <rPr>
        <b/>
        <sz val="11"/>
        <color theme="1"/>
        <rFont val="Calibri"/>
        <family val="2"/>
        <scheme val="minor"/>
      </rPr>
      <t xml:space="preserve">Why Operating Cash Flow Margin (%)?  
</t>
    </r>
    <r>
      <rPr>
        <sz val="11"/>
        <color theme="1"/>
        <rFont val="Calibri"/>
        <family val="2"/>
        <scheme val="minor"/>
      </rPr>
      <t xml:space="preserve">It is related to measures used in current credit ratings.  
</t>
    </r>
    <r>
      <rPr>
        <b/>
        <sz val="11"/>
        <color theme="1"/>
        <rFont val="Calibri"/>
        <family val="2"/>
        <scheme val="minor"/>
      </rPr>
      <t xml:space="preserve">Why max percent of system or individual hospital? 
</t>
    </r>
    <r>
      <rPr>
        <sz val="11"/>
        <color theme="1"/>
        <rFont val="Calibri"/>
        <family val="2"/>
        <scheme val="minor"/>
      </rPr>
      <t>Individual hospitals within a Hospital System can draw on the system for support where independent hospitals cannot. 
*CHASE aggregates by system in certain documents and hospitals should reference those “group” documents to see if their hospital is deemed independent or part of a system.</t>
    </r>
  </si>
  <si>
    <r>
      <t xml:space="preserve">Non-PPS Hospital Type:
</t>
    </r>
    <r>
      <rPr>
        <sz val="8"/>
        <rFont val="Calibri"/>
        <family val="2"/>
        <scheme val="minor"/>
      </rPr>
      <t>(3rd &amp; 4th digits indicating hosp type.  13=CAH, 33=Pediatric)</t>
    </r>
  </si>
  <si>
    <t>A</t>
  </si>
  <si>
    <t>B</t>
  </si>
  <si>
    <r>
      <t xml:space="preserve">FY21-22 Base Rate 
</t>
    </r>
    <r>
      <rPr>
        <sz val="8"/>
        <rFont val="Calibri"/>
        <family val="2"/>
        <scheme val="minor"/>
      </rPr>
      <t>(NEW HOSP GET PEER GROUP AVG)</t>
    </r>
  </si>
  <si>
    <t>About the DRAFT Inpatient Hospital Base Rate Model</t>
  </si>
  <si>
    <t>1.  The model is meant to provide transparency to our hospital stakeholders so they know exactly how their rates will be calculated.</t>
  </si>
  <si>
    <t>3.  Ceilings/Floors and other mechanisms to assign add-ons/adjustments are in DRAFT form and open to discussion.</t>
  </si>
  <si>
    <t>5.  Non-PPS hospitals are defined as Pediatric and Critical Access Hospitals (CAH).</t>
  </si>
  <si>
    <t>Any questions or concerns related to this model should be directed to Diana Lambe at diana.lambe@state.co.us</t>
  </si>
  <si>
    <t>2.  The data included from the CMS Impact File, Actual Discharges and Case Mix Index (CMI) from Health First's Claims System, HCRIS Cost Reports &amp; Hospital Transparency Data from Special Financing will all be updated with new figures for FY2023-24.</t>
  </si>
  <si>
    <t>HIPPA rule check:</t>
  </si>
  <si>
    <t>HIPAA ADJUSTMENT</t>
  </si>
  <si>
    <r>
      <t xml:space="preserve">Payer mix add-on
</t>
    </r>
    <r>
      <rPr>
        <sz val="8"/>
        <color theme="1"/>
        <rFont val="Calibri"/>
        <family val="2"/>
        <scheme val="minor"/>
      </rPr>
      <t>(HCRIS 3 yr avg Medicaid Payer Mix 2018-2020)</t>
    </r>
  </si>
  <si>
    <t>4.  Hospitals Discharges of less than or equal to 30 are masked to adhere to HIPAA rules.  Therefore, draft rates presented in this and all future models will differ slightly from actual rates.</t>
  </si>
  <si>
    <t>Hospital Type</t>
  </si>
  <si>
    <t/>
  </si>
  <si>
    <t>SCH</t>
  </si>
  <si>
    <t>MDH</t>
  </si>
  <si>
    <t>CAH</t>
  </si>
  <si>
    <t>PED</t>
  </si>
  <si>
    <t>MUTUALLY EXCLUSIVE ADD-ONS</t>
  </si>
  <si>
    <r>
      <t xml:space="preserve">Pediatric hospital add-on
</t>
    </r>
    <r>
      <rPr>
        <sz val="8"/>
        <color theme="1"/>
        <rFont val="Calibri"/>
        <family val="2"/>
        <scheme val="minor"/>
      </rPr>
      <t>(excludes CAH, SCH/MDH &amp; Low Discharge)</t>
    </r>
  </si>
  <si>
    <t>IP BASE RATES FOR FY22-23 w/SBA APPLIED</t>
  </si>
  <si>
    <t>6.  This is Version 2.0, released 10.7.2022, changes listed below:</t>
  </si>
  <si>
    <t>Updated Pediatric add-on from 21% to 25%</t>
  </si>
  <si>
    <t>Added column CN to show final rate after State Budget Action is applied</t>
  </si>
  <si>
    <t>How Corridor will be applied in non-rebasing years</t>
  </si>
  <si>
    <t>Added SCH/MDH Add-on of 20% in column K to the set of mutually exclusive add-ons</t>
  </si>
  <si>
    <t>New Base Rate w/o Corridor and w/prior year's SBA</t>
  </si>
  <si>
    <t>FY22-23 Rate after State Budget Action (SBA)</t>
  </si>
  <si>
    <t>FY23-24 before SBA applied</t>
  </si>
  <si>
    <r>
      <t xml:space="preserve">Critical Access Hospital (CAH) add-on
</t>
    </r>
    <r>
      <rPr>
        <sz val="8"/>
        <color theme="1"/>
        <rFont val="Calibri"/>
        <family val="2"/>
        <scheme val="minor"/>
      </rPr>
      <t xml:space="preserve">(excludes SCH/MDH, Low Discharge &amp; Pediatric) </t>
    </r>
  </si>
  <si>
    <r>
      <t xml:space="preserve">SCH/MDH add-on
</t>
    </r>
    <r>
      <rPr>
        <sz val="8"/>
        <color theme="1"/>
        <rFont val="Calibri"/>
        <family val="2"/>
        <scheme val="minor"/>
      </rPr>
      <t>(excludes CAH, Low Discharge &amp; Pediatric)</t>
    </r>
  </si>
  <si>
    <r>
      <t xml:space="preserve">Low discharge add-on </t>
    </r>
    <r>
      <rPr>
        <sz val="8"/>
        <color theme="1"/>
        <rFont val="Calibri"/>
        <family val="2"/>
        <scheme val="minor"/>
      </rPr>
      <t>(3 yr avg Total Discharges) (excludes CAH, SCH/MDH &amp; Pediatric)</t>
    </r>
  </si>
  <si>
    <t>Added columns (CP thru CT) showing how the corridor will be applied in non-rebasing years</t>
  </si>
  <si>
    <r>
      <t xml:space="preserve">Up to 3-year Average Total Discharges
</t>
    </r>
    <r>
      <rPr>
        <sz val="8"/>
        <color theme="1"/>
        <rFont val="Calibri"/>
        <family val="2"/>
        <scheme val="minor"/>
      </rPr>
      <t xml:space="preserve"> (Hosp Cost Reports HCRIS 2018-2020)
CAH, SCH/MDH &amp; Pediatric Hospitals Excluded from this Add-on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</si>
</sst>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7" formatCode="&quot;$&quot;#,##0.00_);\(&quot;$&quot;#,##0.00\)"/>
    <numFmt numFmtId="8" formatCode="&quot;$&quot;#,##0.00_);[Red]\(&quot;$&quot;#,##0.00\)"/>
    <numFmt numFmtId="44" formatCode="_(&quot;$&quot;* #,##0.00_);_(&quot;$&quot;* \(#,##0.00\);_(&quot;$&quot;* &quot;-&quot;??_);_(@_)"/>
    <numFmt numFmtId="43" formatCode="_(* #,##0.00_);_(* \(#,##0.00\);_(* &quot;-&quot;??_);_(@_)"/>
    <numFmt numFmtId="164" formatCode="0.0%"/>
    <numFmt numFmtId="165" formatCode="#,##0.0000_);\(#,##0.0000\)"/>
    <numFmt numFmtId="166" formatCode="0.0000"/>
    <numFmt numFmtId="167" formatCode="&quot;$&quot;#,##0.00"/>
    <numFmt numFmtId="168" formatCode="&quot;$&quot;#,##0.0"/>
    <numFmt numFmtId="169" formatCode="#,###.00;\(#,###.00\)"/>
    <numFmt numFmtId="170" formatCode="#,###;\(#,###\)"/>
    <numFmt numFmtId="171" formatCode="0.000"/>
    <numFmt numFmtId="172" formatCode="&quot;$&quot;#,##0.000"/>
  </numFmts>
  <fonts count="55" x14ac:knownFonts="1">
    <font>
      <sz val="11"/>
      <color theme="1"/>
      <name val="Calibri"/>
      <family val="2"/>
      <scheme val="minor"/>
    </font>
    <font>
      <sz val="10"/>
      <color theme="1"/>
      <name val="Calibri"/>
      <family val="2"/>
      <scheme val="minor"/>
    </font>
    <font>
      <b/>
      <sz val="10"/>
      <color theme="1"/>
      <name val="Calibri"/>
      <family val="2"/>
      <scheme val="minor"/>
    </font>
    <font>
      <sz val="11"/>
      <color theme="1"/>
      <name val="Calibri"/>
      <family val="2"/>
      <scheme val="minor"/>
    </font>
    <font>
      <sz val="9"/>
      <color indexed="81"/>
      <name val="Tahoma"/>
      <family val="2"/>
    </font>
    <font>
      <b/>
      <sz val="9"/>
      <color indexed="81"/>
      <name val="Tahoma"/>
      <family val="2"/>
    </font>
    <font>
      <i/>
      <sz val="10"/>
      <color rgb="FF0000CC"/>
      <name val="Calibri"/>
      <family val="2"/>
      <scheme val="minor"/>
    </font>
    <font>
      <b/>
      <sz val="11"/>
      <color theme="1"/>
      <name val="Calibri"/>
      <family val="2"/>
      <scheme val="minor"/>
    </font>
    <font>
      <u/>
      <sz val="11"/>
      <color theme="10"/>
      <name val="Calibri"/>
      <family val="2"/>
      <scheme val="minor"/>
    </font>
    <font>
      <b/>
      <sz val="11"/>
      <name val="Calibri"/>
      <family val="2"/>
      <scheme val="minor"/>
    </font>
    <font>
      <b/>
      <sz val="11"/>
      <color rgb="FFFF0000"/>
      <name val="Calibri"/>
      <family val="2"/>
      <scheme val="minor"/>
    </font>
    <font>
      <b/>
      <sz val="8"/>
      <name val="Calibri"/>
      <family val="2"/>
      <scheme val="minor"/>
    </font>
    <font>
      <b/>
      <sz val="9"/>
      <name val="Calibri"/>
      <family val="2"/>
      <scheme val="minor"/>
    </font>
    <font>
      <sz val="11"/>
      <name val="Calibri"/>
      <family val="2"/>
      <scheme val="minor"/>
    </font>
    <font>
      <b/>
      <sz val="16"/>
      <name val="Calibri"/>
      <family val="2"/>
      <scheme val="minor"/>
    </font>
    <font>
      <b/>
      <sz val="12"/>
      <name val="Calibri"/>
      <family val="2"/>
      <scheme val="minor"/>
    </font>
    <font>
      <sz val="10"/>
      <name val="Calibri"/>
      <family val="2"/>
      <scheme val="minor"/>
    </font>
    <font>
      <sz val="8"/>
      <name val="Calibri"/>
      <family val="2"/>
      <scheme val="minor"/>
    </font>
    <font>
      <b/>
      <sz val="10"/>
      <name val="Calibri"/>
      <family val="2"/>
      <scheme val="minor"/>
    </font>
    <font>
      <sz val="10"/>
      <color rgb="FFFF0000"/>
      <name val="Calibri"/>
      <family val="2"/>
      <scheme val="minor"/>
    </font>
    <font>
      <b/>
      <sz val="10"/>
      <color rgb="FFFF0000"/>
      <name val="Calibri"/>
      <family val="2"/>
      <scheme val="minor"/>
    </font>
    <font>
      <i/>
      <sz val="10"/>
      <color rgb="FFFF0000"/>
      <name val="Calibri"/>
      <family val="2"/>
      <scheme val="minor"/>
    </font>
    <font>
      <sz val="10"/>
      <name val="Times New Roman"/>
      <family val="1"/>
    </font>
    <font>
      <u/>
      <sz val="10"/>
      <color theme="10"/>
      <name val="Times New Roman"/>
      <family val="1"/>
    </font>
    <font>
      <sz val="9"/>
      <name val="Calibri"/>
      <family val="2"/>
      <scheme val="minor"/>
    </font>
    <font>
      <sz val="9"/>
      <color theme="1"/>
      <name val="Calibri"/>
      <family val="2"/>
      <scheme val="minor"/>
    </font>
    <font>
      <b/>
      <sz val="10"/>
      <color theme="0"/>
      <name val="Calibri"/>
      <family val="2"/>
      <scheme val="minor"/>
    </font>
    <font>
      <u/>
      <sz val="9"/>
      <color theme="10"/>
      <name val="Calibri"/>
      <family val="2"/>
      <scheme val="minor"/>
    </font>
    <font>
      <sz val="10"/>
      <color rgb="FF7030A0"/>
      <name val="Calibri"/>
      <family val="2"/>
      <scheme val="minor"/>
    </font>
    <font>
      <sz val="10"/>
      <color rgb="FF002060"/>
      <name val="Calibri"/>
      <family val="2"/>
      <scheme val="minor"/>
    </font>
    <font>
      <b/>
      <u/>
      <sz val="10"/>
      <color rgb="FF0000CC"/>
      <name val="Calibri"/>
      <family val="2"/>
      <scheme val="minor"/>
    </font>
    <font>
      <sz val="10"/>
      <color rgb="FF0000CC"/>
      <name val="Calibri"/>
      <family val="2"/>
      <scheme val="minor"/>
    </font>
    <font>
      <b/>
      <u/>
      <sz val="11"/>
      <name val="Calibri"/>
      <family val="2"/>
      <scheme val="minor"/>
    </font>
    <font>
      <b/>
      <sz val="14"/>
      <name val="Calibri"/>
      <family val="2"/>
      <scheme val="minor"/>
    </font>
    <font>
      <sz val="8"/>
      <color theme="1"/>
      <name val="Calibri"/>
      <family val="2"/>
      <scheme val="minor"/>
    </font>
    <font>
      <i/>
      <sz val="9"/>
      <color rgb="FF0000CC"/>
      <name val="Calibri"/>
      <family val="2"/>
      <scheme val="minor"/>
    </font>
    <font>
      <b/>
      <u/>
      <sz val="16"/>
      <color theme="10"/>
      <name val="Calibri"/>
      <family val="2"/>
      <scheme val="minor"/>
    </font>
    <font>
      <sz val="11"/>
      <color rgb="FFFF0000"/>
      <name val="Calibri"/>
      <family val="2"/>
      <scheme val="minor"/>
    </font>
    <font>
      <b/>
      <u/>
      <sz val="10"/>
      <name val="Calibri"/>
      <family val="2"/>
      <scheme val="minor"/>
    </font>
    <font>
      <sz val="10"/>
      <color theme="0"/>
      <name val="Calibri"/>
      <family val="2"/>
      <scheme val="minor"/>
    </font>
    <font>
      <b/>
      <sz val="11"/>
      <name val="Arial"/>
      <family val="2"/>
    </font>
    <font>
      <sz val="11"/>
      <name val="Arial"/>
      <family val="2"/>
    </font>
    <font>
      <sz val="12"/>
      <name val="Arial"/>
      <family val="2"/>
    </font>
    <font>
      <sz val="10"/>
      <name val="Arial"/>
      <family val="2"/>
    </font>
    <font>
      <b/>
      <sz val="12"/>
      <name val="Arial"/>
      <family val="2"/>
    </font>
    <font>
      <b/>
      <sz val="10"/>
      <name val="Arial"/>
      <family val="2"/>
    </font>
    <font>
      <sz val="12"/>
      <name val="Times New Roman"/>
      <family val="1"/>
    </font>
    <font>
      <vertAlign val="superscript"/>
      <sz val="10"/>
      <name val="Arial"/>
      <family val="2"/>
    </font>
    <font>
      <sz val="12"/>
      <color theme="1"/>
      <name val="Calibri"/>
      <family val="2"/>
      <scheme val="minor"/>
    </font>
    <font>
      <b/>
      <sz val="14"/>
      <name val="Arial"/>
      <family val="2"/>
    </font>
    <font>
      <b/>
      <sz val="14"/>
      <color theme="1"/>
      <name val="Calibri"/>
      <family val="2"/>
      <scheme val="minor"/>
    </font>
    <font>
      <sz val="14"/>
      <color theme="1"/>
      <name val="Calibri"/>
      <family val="2"/>
      <scheme val="minor"/>
    </font>
    <font>
      <b/>
      <sz val="18"/>
      <color theme="1"/>
      <name val="Calibri"/>
      <family val="2"/>
      <scheme val="minor"/>
    </font>
    <font>
      <i/>
      <sz val="10"/>
      <name val="Calibri"/>
      <family val="2"/>
      <scheme val="minor"/>
    </font>
    <font>
      <sz val="14"/>
      <name val="Calibri"/>
      <family val="2"/>
      <scheme val="minor"/>
    </font>
  </fonts>
  <fills count="19">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8" tint="0.59999389629810485"/>
        <bgColor indexed="64"/>
      </patternFill>
    </fill>
    <fill>
      <patternFill patternType="solid">
        <fgColor theme="0"/>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8" tint="0.39997558519241921"/>
        <bgColor indexed="64"/>
      </patternFill>
    </fill>
    <fill>
      <patternFill patternType="solid">
        <fgColor rgb="FFFFFF00"/>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rgb="FFFB79EC"/>
        <bgColor indexed="64"/>
      </patternFill>
    </fill>
    <fill>
      <patternFill patternType="solid">
        <fgColor rgb="FF00B050"/>
        <bgColor indexed="64"/>
      </patternFill>
    </fill>
    <fill>
      <patternFill patternType="solid">
        <fgColor indexed="22"/>
        <bgColor indexed="64"/>
      </patternFill>
    </fill>
    <fill>
      <patternFill patternType="solid">
        <fgColor theme="1"/>
        <bgColor indexed="64"/>
      </patternFill>
    </fill>
    <fill>
      <patternFill patternType="solid">
        <fgColor indexed="8"/>
        <bgColor indexed="64"/>
      </patternFill>
    </fill>
    <fill>
      <patternFill patternType="solid">
        <fgColor rgb="FFC2C6EA"/>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top style="thin">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bottom style="medium">
        <color indexed="64"/>
      </bottom>
      <diagonal/>
    </border>
    <border>
      <left/>
      <right style="thin">
        <color indexed="64"/>
      </right>
      <top/>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0">
    <xf numFmtId="0" fontId="0" fillId="0" borderId="0"/>
    <xf numFmtId="9" fontId="3" fillId="0" borderId="0" applyFont="0" applyFill="0" applyBorder="0" applyAlignment="0" applyProtection="0"/>
    <xf numFmtId="43" fontId="3" fillId="0" borderId="0" applyFont="0" applyFill="0" applyBorder="0" applyAlignment="0" applyProtection="0"/>
    <xf numFmtId="0" fontId="8" fillId="0" borderId="0" applyNumberFormat="0" applyFill="0" applyBorder="0" applyAlignment="0" applyProtection="0"/>
    <xf numFmtId="44" fontId="3" fillId="0" borderId="0" applyFont="0" applyFill="0" applyBorder="0" applyAlignment="0" applyProtection="0"/>
    <xf numFmtId="0" fontId="22" fillId="0" borderId="0"/>
    <xf numFmtId="0" fontId="23" fillId="0" borderId="0" applyNumberFormat="0" applyFill="0" applyBorder="0" applyAlignment="0" applyProtection="0"/>
    <xf numFmtId="0" fontId="22" fillId="0" borderId="0"/>
    <xf numFmtId="170" fontId="22" fillId="0" borderId="0" applyFont="0" applyFill="0" applyBorder="0" applyAlignment="0" applyProtection="0"/>
    <xf numFmtId="0" fontId="43" fillId="0" borderId="0"/>
  </cellStyleXfs>
  <cellXfs count="363">
    <xf numFmtId="0" fontId="0" fillId="0" borderId="0" xfId="0"/>
    <xf numFmtId="0" fontId="1" fillId="0" borderId="0" xfId="0" applyFont="1" applyAlignment="1">
      <alignment horizontal="center"/>
    </xf>
    <xf numFmtId="0" fontId="1" fillId="0" borderId="0" xfId="0" applyFont="1"/>
    <xf numFmtId="0" fontId="2" fillId="2" borderId="1" xfId="0" applyFont="1" applyFill="1" applyBorder="1" applyAlignment="1">
      <alignment horizontal="center" vertical="top" wrapText="1"/>
    </xf>
    <xf numFmtId="37" fontId="1" fillId="0" borderId="0" xfId="0" applyNumberFormat="1" applyFont="1"/>
    <xf numFmtId="37" fontId="1" fillId="0" borderId="0" xfId="0" applyNumberFormat="1" applyFont="1" applyAlignment="1">
      <alignment horizontal="center"/>
    </xf>
    <xf numFmtId="0" fontId="6" fillId="0" borderId="0" xfId="0" applyFont="1"/>
    <xf numFmtId="37" fontId="6" fillId="0" borderId="0" xfId="0" applyNumberFormat="1" applyFont="1"/>
    <xf numFmtId="37" fontId="6" fillId="0" borderId="0" xfId="0" applyNumberFormat="1" applyFont="1" applyAlignment="1">
      <alignment horizontal="center"/>
    </xf>
    <xf numFmtId="9" fontId="6" fillId="0" borderId="0" xfId="1" applyFont="1" applyAlignment="1">
      <alignment horizontal="center"/>
    </xf>
    <xf numFmtId="7" fontId="1" fillId="0" borderId="0" xfId="0" applyNumberFormat="1" applyFont="1"/>
    <xf numFmtId="0" fontId="0" fillId="5" borderId="0" xfId="0" applyFill="1"/>
    <xf numFmtId="0" fontId="1" fillId="0" borderId="0" xfId="0" applyFont="1" applyAlignment="1">
      <alignment horizontal="left"/>
    </xf>
    <xf numFmtId="37" fontId="16" fillId="0" borderId="0" xfId="0" applyNumberFormat="1" applyFont="1"/>
    <xf numFmtId="0" fontId="13" fillId="0" borderId="0" xfId="0" applyFont="1"/>
    <xf numFmtId="2" fontId="13" fillId="5" borderId="0" xfId="0" applyNumberFormat="1" applyFont="1" applyFill="1"/>
    <xf numFmtId="0" fontId="13" fillId="5" borderId="0" xfId="0" applyFont="1" applyFill="1" applyAlignment="1">
      <alignment vertical="center"/>
    </xf>
    <xf numFmtId="49" fontId="13" fillId="5" borderId="0" xfId="0" applyNumberFormat="1" applyFont="1" applyFill="1" applyAlignment="1">
      <alignment vertical="center"/>
    </xf>
    <xf numFmtId="0" fontId="13" fillId="5" borderId="1" xfId="0" applyFont="1" applyFill="1" applyBorder="1" applyAlignment="1">
      <alignment horizontal="center" vertical="center"/>
    </xf>
    <xf numFmtId="2" fontId="13" fillId="6" borderId="1" xfId="0" applyNumberFormat="1" applyFont="1" applyFill="1" applyBorder="1" applyAlignment="1">
      <alignment horizontal="center" vertical="center" wrapText="1"/>
    </xf>
    <xf numFmtId="0" fontId="13" fillId="6" borderId="1" xfId="0" applyFont="1" applyFill="1" applyBorder="1" applyAlignment="1">
      <alignment horizontal="center" vertical="center" wrapText="1"/>
    </xf>
    <xf numFmtId="49" fontId="13" fillId="6" borderId="1" xfId="0" applyNumberFormat="1" applyFont="1" applyFill="1" applyBorder="1" applyAlignment="1">
      <alignment horizontal="center" vertical="center" wrapText="1"/>
    </xf>
    <xf numFmtId="0" fontId="13" fillId="5" borderId="6" xfId="0" applyFont="1" applyFill="1" applyBorder="1" applyAlignment="1">
      <alignment horizontal="center" vertical="center" wrapText="1"/>
    </xf>
    <xf numFmtId="49" fontId="13" fillId="5" borderId="1" xfId="0" applyNumberFormat="1" applyFont="1" applyFill="1" applyBorder="1" applyAlignment="1">
      <alignment horizontal="center" vertical="center" wrapText="1"/>
    </xf>
    <xf numFmtId="0" fontId="13" fillId="5" borderId="8" xfId="0" applyFont="1" applyFill="1" applyBorder="1" applyAlignment="1">
      <alignment horizontal="center" vertical="center" wrapText="1"/>
    </xf>
    <xf numFmtId="167" fontId="13" fillId="5" borderId="8" xfId="0" applyNumberFormat="1" applyFont="1" applyFill="1" applyBorder="1" applyAlignment="1">
      <alignment horizontal="center" vertical="center" wrapText="1"/>
    </xf>
    <xf numFmtId="166" fontId="13" fillId="5" borderId="8" xfId="0" applyNumberFormat="1" applyFont="1" applyFill="1" applyBorder="1" applyAlignment="1">
      <alignment horizontal="center" vertical="center" wrapText="1"/>
    </xf>
    <xf numFmtId="8" fontId="13" fillId="5" borderId="8" xfId="0" applyNumberFormat="1" applyFont="1" applyFill="1" applyBorder="1" applyAlignment="1">
      <alignment horizontal="center" vertical="center" wrapText="1"/>
    </xf>
    <xf numFmtId="167" fontId="13" fillId="5" borderId="9" xfId="0" applyNumberFormat="1" applyFont="1" applyFill="1" applyBorder="1" applyAlignment="1">
      <alignment horizontal="center" vertical="center" wrapText="1"/>
    </xf>
    <xf numFmtId="0" fontId="13" fillId="5" borderId="0" xfId="0" applyFont="1" applyFill="1" applyAlignment="1">
      <alignment horizontal="center" vertical="center"/>
    </xf>
    <xf numFmtId="49" fontId="13" fillId="5" borderId="1" xfId="0" applyNumberFormat="1" applyFont="1" applyFill="1" applyBorder="1" applyAlignment="1">
      <alignment horizontal="center" vertical="center"/>
    </xf>
    <xf numFmtId="49" fontId="13" fillId="5" borderId="1" xfId="0" quotePrefix="1" applyNumberFormat="1" applyFont="1" applyFill="1" applyBorder="1" applyAlignment="1">
      <alignment horizontal="center" vertical="center" wrapText="1"/>
    </xf>
    <xf numFmtId="2" fontId="9" fillId="5" borderId="0" xfId="0" applyNumberFormat="1" applyFont="1" applyFill="1" applyAlignment="1">
      <alignment horizontal="center" vertical="center"/>
    </xf>
    <xf numFmtId="0" fontId="9" fillId="5" borderId="0" xfId="0" applyFont="1" applyFill="1" applyAlignment="1">
      <alignment horizontal="center" vertical="center"/>
    </xf>
    <xf numFmtId="49" fontId="9" fillId="5" borderId="0" xfId="0" applyNumberFormat="1" applyFont="1" applyFill="1" applyAlignment="1">
      <alignment horizontal="center" vertical="center"/>
    </xf>
    <xf numFmtId="0" fontId="13" fillId="5" borderId="0" xfId="0" applyFont="1" applyFill="1" applyAlignment="1">
      <alignment horizontal="left"/>
    </xf>
    <xf numFmtId="166" fontId="13" fillId="5" borderId="1" xfId="0" applyNumberFormat="1" applyFont="1" applyFill="1" applyBorder="1" applyAlignment="1">
      <alignment horizontal="center" vertical="center"/>
    </xf>
    <xf numFmtId="0" fontId="12" fillId="5" borderId="0" xfId="0" applyFont="1" applyFill="1" applyAlignment="1">
      <alignment horizontal="center" vertical="center"/>
    </xf>
    <xf numFmtId="0" fontId="13" fillId="5" borderId="0" xfId="0" applyFont="1" applyFill="1"/>
    <xf numFmtId="167" fontId="13" fillId="5" borderId="1" xfId="2" applyNumberFormat="1" applyFont="1" applyFill="1" applyBorder="1" applyAlignment="1">
      <alignment horizontal="center" vertical="center" wrapText="1"/>
    </xf>
    <xf numFmtId="39" fontId="13" fillId="5" borderId="1" xfId="0" applyNumberFormat="1" applyFont="1" applyFill="1" applyBorder="1" applyAlignment="1">
      <alignment horizontal="center" vertical="center"/>
    </xf>
    <xf numFmtId="168" fontId="13" fillId="5" borderId="1" xfId="2" applyNumberFormat="1" applyFont="1" applyFill="1" applyBorder="1" applyAlignment="1">
      <alignment horizontal="center" vertical="center" wrapText="1"/>
    </xf>
    <xf numFmtId="167" fontId="0" fillId="0" borderId="1" xfId="0" applyNumberFormat="1" applyBorder="1" applyAlignment="1">
      <alignment horizontal="center"/>
    </xf>
    <xf numFmtId="167" fontId="13" fillId="5" borderId="1" xfId="0" applyNumberFormat="1" applyFont="1" applyFill="1" applyBorder="1" applyAlignment="1">
      <alignment horizontal="center" vertical="center"/>
    </xf>
    <xf numFmtId="9" fontId="13" fillId="5" borderId="1" xfId="1" applyFont="1" applyFill="1" applyBorder="1" applyAlignment="1">
      <alignment horizontal="center" vertical="center"/>
    </xf>
    <xf numFmtId="166" fontId="13" fillId="5" borderId="0" xfId="0" applyNumberFormat="1" applyFont="1" applyFill="1" applyAlignment="1">
      <alignment horizontal="center" vertical="center"/>
    </xf>
    <xf numFmtId="167" fontId="13" fillId="5" borderId="0" xfId="0" applyNumberFormat="1" applyFont="1" applyFill="1" applyAlignment="1">
      <alignment horizontal="center" vertical="center"/>
    </xf>
    <xf numFmtId="9" fontId="9" fillId="5" borderId="0" xfId="1" applyFont="1" applyFill="1" applyAlignment="1">
      <alignment horizontal="center" vertical="center"/>
    </xf>
    <xf numFmtId="9" fontId="13" fillId="5" borderId="0" xfId="1" applyFont="1" applyFill="1" applyAlignment="1">
      <alignment horizontal="center" vertical="center"/>
    </xf>
    <xf numFmtId="9" fontId="13" fillId="5" borderId="5" xfId="1" applyFont="1" applyFill="1" applyBorder="1" applyAlignment="1">
      <alignment horizontal="center" vertical="center"/>
    </xf>
    <xf numFmtId="2" fontId="9" fillId="6" borderId="1" xfId="0" applyNumberFormat="1" applyFont="1" applyFill="1" applyBorder="1" applyAlignment="1">
      <alignment horizontal="center" vertical="center" wrapText="1"/>
    </xf>
    <xf numFmtId="49" fontId="9" fillId="6" borderId="1" xfId="0" applyNumberFormat="1" applyFont="1" applyFill="1" applyBorder="1" applyAlignment="1">
      <alignment horizontal="center" vertical="center" wrapText="1"/>
    </xf>
    <xf numFmtId="37" fontId="2" fillId="3" borderId="1" xfId="0" applyNumberFormat="1" applyFont="1" applyFill="1" applyBorder="1" applyAlignment="1">
      <alignment horizontal="center" vertical="center" wrapText="1"/>
    </xf>
    <xf numFmtId="0" fontId="1" fillId="0" borderId="0" xfId="0" applyFont="1" applyAlignment="1">
      <alignment vertical="center"/>
    </xf>
    <xf numFmtId="37" fontId="6" fillId="0" borderId="0" xfId="0" quotePrefix="1" applyNumberFormat="1" applyFont="1"/>
    <xf numFmtId="7" fontId="1" fillId="0" borderId="0" xfId="0" quotePrefix="1" applyNumberFormat="1" applyFont="1"/>
    <xf numFmtId="0" fontId="6" fillId="5" borderId="0" xfId="0" applyFont="1" applyFill="1"/>
    <xf numFmtId="0" fontId="16" fillId="5" borderId="0" xfId="0" applyFont="1" applyFill="1" applyAlignment="1">
      <alignment horizontal="center"/>
    </xf>
    <xf numFmtId="0" fontId="16" fillId="5" borderId="0" xfId="0" applyFont="1" applyFill="1"/>
    <xf numFmtId="0" fontId="25" fillId="11" borderId="1" xfId="0" applyFont="1" applyFill="1" applyBorder="1" applyAlignment="1">
      <alignment horizontal="right" vertical="center"/>
    </xf>
    <xf numFmtId="0" fontId="24" fillId="6" borderId="6" xfId="0" applyFont="1" applyFill="1" applyBorder="1" applyAlignment="1">
      <alignment horizontal="center" vertical="center" wrapText="1"/>
    </xf>
    <xf numFmtId="37" fontId="2" fillId="2" borderId="1" xfId="0" applyNumberFormat="1" applyFont="1" applyFill="1" applyBorder="1" applyAlignment="1">
      <alignment horizontal="center" vertical="center" wrapText="1"/>
    </xf>
    <xf numFmtId="0" fontId="16" fillId="5" borderId="0" xfId="0" applyFont="1" applyFill="1" applyAlignment="1">
      <alignment vertical="center"/>
    </xf>
    <xf numFmtId="0" fontId="18" fillId="9" borderId="13" xfId="0" applyFont="1" applyFill="1" applyBorder="1" applyAlignment="1">
      <alignment vertical="center"/>
    </xf>
    <xf numFmtId="0" fontId="18" fillId="9" borderId="15" xfId="0" applyFont="1" applyFill="1" applyBorder="1" applyAlignment="1">
      <alignment vertical="center" wrapText="1"/>
    </xf>
    <xf numFmtId="0" fontId="20" fillId="5" borderId="0" xfId="0" applyFont="1" applyFill="1" applyAlignment="1">
      <alignment horizontal="center" vertical="center" wrapText="1"/>
    </xf>
    <xf numFmtId="0" fontId="19" fillId="5" borderId="0" xfId="0" applyFont="1" applyFill="1" applyAlignment="1">
      <alignment horizontal="center" vertical="center"/>
    </xf>
    <xf numFmtId="0" fontId="19" fillId="5" borderId="0" xfId="0" applyFont="1" applyFill="1" applyAlignment="1">
      <alignment vertical="center"/>
    </xf>
    <xf numFmtId="0" fontId="19" fillId="5" borderId="0" xfId="0" applyFont="1" applyFill="1"/>
    <xf numFmtId="0" fontId="19" fillId="5" borderId="0" xfId="0" applyFont="1" applyFill="1" applyAlignment="1">
      <alignment horizontal="center"/>
    </xf>
    <xf numFmtId="10" fontId="18" fillId="9" borderId="14" xfId="1" applyNumberFormat="1" applyFont="1" applyFill="1" applyBorder="1" applyAlignment="1">
      <alignment horizontal="center"/>
    </xf>
    <xf numFmtId="10" fontId="26" fillId="13" borderId="14" xfId="1" applyNumberFormat="1" applyFont="1" applyFill="1" applyBorder="1" applyAlignment="1">
      <alignment horizontal="center"/>
    </xf>
    <xf numFmtId="167" fontId="16" fillId="5" borderId="0" xfId="0" quotePrefix="1" applyNumberFormat="1" applyFont="1" applyFill="1" applyAlignment="1">
      <alignment horizontal="center" vertical="center"/>
    </xf>
    <xf numFmtId="0" fontId="16" fillId="5" borderId="0" xfId="0" quotePrefix="1" applyFont="1" applyFill="1" applyAlignment="1">
      <alignment horizontal="center" vertical="center"/>
    </xf>
    <xf numFmtId="44" fontId="16" fillId="5" borderId="0" xfId="4" quotePrefix="1" applyFont="1" applyFill="1" applyBorder="1" applyAlignment="1">
      <alignment horizontal="center" vertical="center"/>
    </xf>
    <xf numFmtId="0" fontId="16" fillId="5" borderId="0" xfId="4" quotePrefix="1" applyNumberFormat="1" applyFont="1" applyFill="1" applyBorder="1" applyAlignment="1">
      <alignment horizontal="center" vertical="center"/>
    </xf>
    <xf numFmtId="0" fontId="18" fillId="11" borderId="8" xfId="0" applyFont="1" applyFill="1" applyBorder="1" applyAlignment="1">
      <alignment horizontal="center" vertical="center" wrapText="1"/>
    </xf>
    <xf numFmtId="0" fontId="18" fillId="11" borderId="0" xfId="0" applyFont="1" applyFill="1" applyAlignment="1">
      <alignment horizontal="center" vertical="center" wrapText="1"/>
    </xf>
    <xf numFmtId="0" fontId="18" fillId="6" borderId="1" xfId="0" applyFont="1" applyFill="1" applyBorder="1" applyAlignment="1">
      <alignment horizontal="center" vertical="center" wrapText="1"/>
    </xf>
    <xf numFmtId="0" fontId="18" fillId="6" borderId="1" xfId="0" applyFont="1" applyFill="1" applyBorder="1" applyAlignment="1">
      <alignment horizontal="center" vertical="top" wrapText="1"/>
    </xf>
    <xf numFmtId="0" fontId="16" fillId="5" borderId="11" xfId="0" applyFont="1" applyFill="1" applyBorder="1"/>
    <xf numFmtId="0" fontId="18" fillId="8" borderId="1" xfId="0" applyFont="1" applyFill="1" applyBorder="1" applyAlignment="1">
      <alignment horizontal="center" vertical="center" wrapText="1"/>
    </xf>
    <xf numFmtId="0" fontId="18" fillId="9" borderId="1" xfId="0" applyFont="1" applyFill="1" applyBorder="1" applyAlignment="1">
      <alignment horizontal="center" vertical="center" wrapText="1"/>
    </xf>
    <xf numFmtId="0" fontId="14" fillId="9" borderId="1" xfId="0" applyFont="1" applyFill="1" applyBorder="1" applyAlignment="1">
      <alignment horizontal="center" vertical="center" wrapText="1"/>
    </xf>
    <xf numFmtId="0" fontId="26" fillId="13" borderId="1" xfId="0" applyFont="1" applyFill="1" applyBorder="1" applyAlignment="1">
      <alignment horizontal="center" vertical="center" wrapText="1"/>
    </xf>
    <xf numFmtId="167" fontId="16" fillId="5" borderId="1" xfId="0" applyNumberFormat="1" applyFont="1" applyFill="1" applyBorder="1" applyAlignment="1">
      <alignment horizontal="center" vertical="center"/>
    </xf>
    <xf numFmtId="167" fontId="16" fillId="5" borderId="11" xfId="0" applyNumberFormat="1" applyFont="1" applyFill="1" applyBorder="1" applyAlignment="1">
      <alignment horizontal="center" vertical="center"/>
    </xf>
    <xf numFmtId="167" fontId="16" fillId="5" borderId="8" xfId="0" applyNumberFormat="1" applyFont="1" applyFill="1" applyBorder="1" applyAlignment="1">
      <alignment horizontal="center" vertical="center"/>
    </xf>
    <xf numFmtId="3" fontId="16" fillId="5" borderId="11" xfId="0" applyNumberFormat="1" applyFont="1" applyFill="1" applyBorder="1" applyAlignment="1">
      <alignment horizontal="center" vertical="center"/>
    </xf>
    <xf numFmtId="4" fontId="16" fillId="5" borderId="11" xfId="0" applyNumberFormat="1" applyFont="1" applyFill="1" applyBorder="1" applyAlignment="1">
      <alignment horizontal="center" vertical="center"/>
    </xf>
    <xf numFmtId="167" fontId="16" fillId="5" borderId="5" xfId="0" applyNumberFormat="1" applyFont="1" applyFill="1" applyBorder="1" applyAlignment="1">
      <alignment horizontal="center" vertical="center"/>
    </xf>
    <xf numFmtId="167" fontId="16" fillId="5" borderId="5" xfId="2" applyNumberFormat="1" applyFont="1" applyFill="1" applyBorder="1" applyAlignment="1">
      <alignment horizontal="center" vertical="center" wrapText="1"/>
    </xf>
    <xf numFmtId="0" fontId="16" fillId="5" borderId="1" xfId="0" applyFont="1" applyFill="1" applyBorder="1" applyAlignment="1">
      <alignment horizontal="center" vertical="center"/>
    </xf>
    <xf numFmtId="167" fontId="16" fillId="5" borderId="1" xfId="4" applyNumberFormat="1" applyFont="1" applyFill="1" applyBorder="1" applyAlignment="1">
      <alignment horizontal="center" vertical="center"/>
    </xf>
    <xf numFmtId="0" fontId="16" fillId="5" borderId="1" xfId="4" applyNumberFormat="1" applyFont="1" applyFill="1" applyBorder="1" applyAlignment="1">
      <alignment horizontal="center" vertical="center"/>
    </xf>
    <xf numFmtId="0" fontId="16" fillId="5" borderId="0" xfId="0" applyFont="1" applyFill="1" applyAlignment="1">
      <alignment horizontal="center" vertical="center"/>
    </xf>
    <xf numFmtId="44" fontId="16" fillId="5" borderId="1" xfId="4" applyFont="1" applyFill="1" applyBorder="1" applyAlignment="1">
      <alignment horizontal="center" vertical="center"/>
    </xf>
    <xf numFmtId="10" fontId="16" fillId="5" borderId="1" xfId="1" applyNumberFormat="1" applyFont="1" applyFill="1" applyBorder="1" applyAlignment="1">
      <alignment horizontal="center" vertical="center"/>
    </xf>
    <xf numFmtId="169" fontId="18" fillId="5" borderId="1" xfId="2" quotePrefix="1" applyNumberFormat="1" applyFont="1" applyFill="1" applyBorder="1" applyAlignment="1">
      <alignment horizontal="center" vertical="center" wrapText="1"/>
    </xf>
    <xf numFmtId="9" fontId="28" fillId="5" borderId="0" xfId="1" applyFont="1" applyFill="1" applyAlignment="1">
      <alignment horizontal="center" vertical="center"/>
    </xf>
    <xf numFmtId="9" fontId="29" fillId="5" borderId="0" xfId="1" applyFont="1" applyFill="1" applyAlignment="1">
      <alignment horizontal="center" vertical="center"/>
    </xf>
    <xf numFmtId="9" fontId="16" fillId="5" borderId="0" xfId="1" applyFont="1" applyFill="1" applyAlignment="1">
      <alignment horizontal="center" vertical="center"/>
    </xf>
    <xf numFmtId="9" fontId="19" fillId="5" borderId="0" xfId="1" applyFont="1" applyFill="1" applyAlignment="1">
      <alignment horizontal="center" vertical="center"/>
    </xf>
    <xf numFmtId="172" fontId="16" fillId="5" borderId="1" xfId="0" applyNumberFormat="1" applyFont="1" applyFill="1" applyBorder="1" applyAlignment="1">
      <alignment horizontal="center" vertical="center"/>
    </xf>
    <xf numFmtId="169" fontId="20" fillId="5" borderId="1" xfId="2" quotePrefix="1" applyNumberFormat="1" applyFont="1" applyFill="1" applyBorder="1" applyAlignment="1">
      <alignment horizontal="center" vertical="center" wrapText="1"/>
    </xf>
    <xf numFmtId="167" fontId="16" fillId="5" borderId="2" xfId="0" applyNumberFormat="1" applyFont="1" applyFill="1" applyBorder="1" applyAlignment="1">
      <alignment horizontal="center" vertical="center"/>
    </xf>
    <xf numFmtId="0" fontId="20" fillId="5" borderId="0" xfId="0" applyFont="1" applyFill="1" applyAlignment="1">
      <alignment horizontal="center" vertical="center"/>
    </xf>
    <xf numFmtId="167" fontId="26" fillId="13" borderId="14" xfId="0" applyNumberFormat="1" applyFont="1" applyFill="1" applyBorder="1" applyAlignment="1">
      <alignment horizontal="center" vertical="center"/>
    </xf>
    <xf numFmtId="3" fontId="18" fillId="8" borderId="11" xfId="0" applyNumberFormat="1" applyFont="1" applyFill="1" applyBorder="1" applyAlignment="1">
      <alignment horizontal="center" vertical="center"/>
    </xf>
    <xf numFmtId="4" fontId="18" fillId="8" borderId="11" xfId="0" applyNumberFormat="1" applyFont="1" applyFill="1" applyBorder="1" applyAlignment="1">
      <alignment horizontal="center" vertical="center"/>
    </xf>
    <xf numFmtId="167" fontId="18" fillId="8" borderId="5" xfId="0" applyNumberFormat="1" applyFont="1" applyFill="1" applyBorder="1" applyAlignment="1">
      <alignment horizontal="center" vertical="center"/>
    </xf>
    <xf numFmtId="0" fontId="18" fillId="5" borderId="0" xfId="0" applyFont="1" applyFill="1" applyAlignment="1">
      <alignment horizontal="center" vertical="center"/>
    </xf>
    <xf numFmtId="167" fontId="18" fillId="8" borderId="1" xfId="0" applyNumberFormat="1" applyFont="1" applyFill="1" applyBorder="1" applyAlignment="1">
      <alignment horizontal="center" vertical="center"/>
    </xf>
    <xf numFmtId="0" fontId="18" fillId="8" borderId="2" xfId="0" applyFont="1" applyFill="1" applyBorder="1" applyAlignment="1">
      <alignment horizontal="center" vertical="center"/>
    </xf>
    <xf numFmtId="0" fontId="20" fillId="8" borderId="2" xfId="0" applyFont="1" applyFill="1" applyBorder="1" applyAlignment="1">
      <alignment horizontal="center" vertical="center"/>
    </xf>
    <xf numFmtId="167" fontId="18" fillId="8" borderId="2" xfId="0" applyNumberFormat="1" applyFont="1" applyFill="1" applyBorder="1" applyAlignment="1">
      <alignment horizontal="center" vertical="center"/>
    </xf>
    <xf numFmtId="0" fontId="20" fillId="8" borderId="1" xfId="0" applyFont="1" applyFill="1" applyBorder="1" applyAlignment="1">
      <alignment horizontal="center" vertical="center"/>
    </xf>
    <xf numFmtId="0" fontId="18" fillId="5" borderId="0" xfId="0" applyFont="1" applyFill="1" applyAlignment="1">
      <alignment horizontal="center"/>
    </xf>
    <xf numFmtId="167" fontId="16" fillId="5" borderId="0" xfId="0" applyNumberFormat="1" applyFont="1" applyFill="1" applyAlignment="1">
      <alignment horizontal="center"/>
    </xf>
    <xf numFmtId="0" fontId="18" fillId="10" borderId="14" xfId="0" applyFont="1" applyFill="1" applyBorder="1" applyAlignment="1">
      <alignment horizontal="center"/>
    </xf>
    <xf numFmtId="0" fontId="26" fillId="13" borderId="13" xfId="0" applyFont="1" applyFill="1" applyBorder="1"/>
    <xf numFmtId="0" fontId="26" fillId="13" borderId="15" xfId="0" applyFont="1" applyFill="1" applyBorder="1" applyAlignment="1">
      <alignment horizontal="right"/>
    </xf>
    <xf numFmtId="167" fontId="26" fillId="13" borderId="14" xfId="0" applyNumberFormat="1" applyFont="1" applyFill="1" applyBorder="1" applyAlignment="1">
      <alignment horizontal="center"/>
    </xf>
    <xf numFmtId="0" fontId="31" fillId="0" borderId="0" xfId="0" applyFont="1"/>
    <xf numFmtId="37" fontId="30" fillId="0" borderId="0" xfId="0" applyNumberFormat="1" applyFont="1" applyAlignment="1">
      <alignment horizontal="center"/>
    </xf>
    <xf numFmtId="39" fontId="31" fillId="0" borderId="0" xfId="0" applyNumberFormat="1" applyFont="1"/>
    <xf numFmtId="37" fontId="31" fillId="0" borderId="0" xfId="0" applyNumberFormat="1" applyFont="1"/>
    <xf numFmtId="165" fontId="31" fillId="0" borderId="0" xfId="0" applyNumberFormat="1" applyFont="1"/>
    <xf numFmtId="7" fontId="31" fillId="0" borderId="0" xfId="0" applyNumberFormat="1" applyFont="1"/>
    <xf numFmtId="0" fontId="1" fillId="12" borderId="0" xfId="0" applyFont="1" applyFill="1" applyAlignment="1">
      <alignment horizontal="center"/>
    </xf>
    <xf numFmtId="37" fontId="18" fillId="3" borderId="1" xfId="0" applyNumberFormat="1" applyFont="1" applyFill="1" applyBorder="1" applyAlignment="1">
      <alignment horizontal="center" vertical="center" wrapText="1"/>
    </xf>
    <xf numFmtId="9" fontId="6" fillId="0" borderId="0" xfId="1" applyFont="1" applyFill="1" applyAlignment="1">
      <alignment horizontal="center"/>
    </xf>
    <xf numFmtId="164" fontId="6" fillId="0" borderId="0" xfId="1" applyNumberFormat="1" applyFont="1" applyFill="1" applyAlignment="1">
      <alignment horizontal="center"/>
    </xf>
    <xf numFmtId="49" fontId="9" fillId="12" borderId="1" xfId="0" applyNumberFormat="1" applyFont="1" applyFill="1" applyBorder="1" applyAlignment="1">
      <alignment horizontal="center" vertical="center"/>
    </xf>
    <xf numFmtId="0" fontId="9" fillId="4" borderId="2" xfId="0" applyFont="1" applyFill="1" applyBorder="1" applyAlignment="1">
      <alignment horizontal="center" vertical="center" wrapText="1"/>
    </xf>
    <xf numFmtId="0" fontId="9" fillId="4" borderId="1" xfId="0" applyFont="1" applyFill="1" applyBorder="1" applyAlignment="1">
      <alignment horizontal="center" vertical="center" wrapText="1"/>
    </xf>
    <xf numFmtId="10" fontId="9" fillId="4" borderId="1" xfId="1" applyNumberFormat="1" applyFont="1" applyFill="1" applyBorder="1" applyAlignment="1">
      <alignment horizontal="center" vertical="center" wrapText="1"/>
    </xf>
    <xf numFmtId="0" fontId="32" fillId="4" borderId="1" xfId="3" applyFont="1" applyFill="1" applyBorder="1" applyAlignment="1">
      <alignment horizontal="center" vertical="center" wrapText="1"/>
    </xf>
    <xf numFmtId="9" fontId="9" fillId="4" borderId="5" xfId="1" applyFont="1" applyFill="1" applyBorder="1" applyAlignment="1">
      <alignment horizontal="center" vertical="center" wrapText="1"/>
    </xf>
    <xf numFmtId="37" fontId="2" fillId="4" borderId="1" xfId="0" applyNumberFormat="1" applyFont="1" applyFill="1" applyBorder="1" applyAlignment="1">
      <alignment horizontal="center" vertical="center" wrapText="1"/>
    </xf>
    <xf numFmtId="0" fontId="13" fillId="0" borderId="8" xfId="0" applyFont="1" applyBorder="1" applyAlignment="1">
      <alignment horizontal="center" vertical="center" wrapText="1"/>
    </xf>
    <xf numFmtId="167" fontId="13" fillId="0" borderId="8" xfId="0" applyNumberFormat="1" applyFont="1" applyBorder="1" applyAlignment="1">
      <alignment horizontal="center" vertical="center" wrapText="1"/>
    </xf>
    <xf numFmtId="166" fontId="13" fillId="0" borderId="1" xfId="0" applyNumberFormat="1" applyFont="1" applyBorder="1" applyAlignment="1">
      <alignment horizontal="center" vertical="center"/>
    </xf>
    <xf numFmtId="167" fontId="13" fillId="0" borderId="1" xfId="0" applyNumberFormat="1" applyFont="1" applyBorder="1" applyAlignment="1">
      <alignment horizontal="center" vertical="center"/>
    </xf>
    <xf numFmtId="0" fontId="13" fillId="0" borderId="1" xfId="0" applyFont="1" applyBorder="1" applyAlignment="1">
      <alignment horizontal="center" vertical="center"/>
    </xf>
    <xf numFmtId="0" fontId="13" fillId="0" borderId="6" xfId="0" applyFont="1" applyBorder="1" applyAlignment="1">
      <alignment horizontal="center" vertical="center" wrapText="1"/>
    </xf>
    <xf numFmtId="49" fontId="13" fillId="0" borderId="1" xfId="0" applyNumberFormat="1" applyFont="1" applyBorder="1" applyAlignment="1">
      <alignment horizontal="center" vertical="center" wrapText="1"/>
    </xf>
    <xf numFmtId="166" fontId="13" fillId="0" borderId="8" xfId="0" applyNumberFormat="1" applyFont="1" applyBorder="1" applyAlignment="1">
      <alignment horizontal="center" vertical="center" wrapText="1"/>
    </xf>
    <xf numFmtId="167" fontId="13" fillId="0" borderId="9" xfId="0" applyNumberFormat="1" applyFont="1" applyBorder="1" applyAlignment="1">
      <alignment horizontal="center" vertical="center" wrapText="1"/>
    </xf>
    <xf numFmtId="167" fontId="13" fillId="0" borderId="1" xfId="2" applyNumberFormat="1" applyFont="1" applyFill="1" applyBorder="1" applyAlignment="1">
      <alignment horizontal="center" vertical="center" wrapText="1"/>
    </xf>
    <xf numFmtId="167" fontId="13" fillId="0" borderId="1" xfId="0" applyNumberFormat="1" applyFont="1" applyBorder="1" applyAlignment="1">
      <alignment horizontal="center"/>
    </xf>
    <xf numFmtId="9" fontId="13" fillId="0" borderId="1" xfId="1" applyFont="1" applyFill="1" applyBorder="1" applyAlignment="1">
      <alignment horizontal="center" vertical="center"/>
    </xf>
    <xf numFmtId="0" fontId="2" fillId="6" borderId="1" xfId="0" applyFont="1" applyFill="1" applyBorder="1" applyAlignment="1">
      <alignment horizontal="center" vertical="top" wrapText="1"/>
    </xf>
    <xf numFmtId="0" fontId="1" fillId="5" borderId="0" xfId="0" applyFont="1" applyFill="1"/>
    <xf numFmtId="0" fontId="1" fillId="5" borderId="0" xfId="0" applyFont="1" applyFill="1" applyAlignment="1">
      <alignment vertical="center"/>
    </xf>
    <xf numFmtId="0" fontId="12" fillId="5" borderId="7"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16" fillId="5" borderId="0" xfId="0" applyFont="1" applyFill="1" applyAlignment="1">
      <alignment horizontal="right"/>
    </xf>
    <xf numFmtId="164" fontId="6" fillId="0" borderId="0" xfId="1" quotePrefix="1" applyNumberFormat="1" applyFont="1" applyFill="1" applyAlignment="1">
      <alignment horizontal="center"/>
    </xf>
    <xf numFmtId="37" fontId="2" fillId="2" borderId="5" xfId="0" applyNumberFormat="1" applyFont="1" applyFill="1" applyBorder="1" applyAlignment="1">
      <alignment horizontal="center" vertical="center" wrapText="1"/>
    </xf>
    <xf numFmtId="37" fontId="16" fillId="12" borderId="0" xfId="0" applyNumberFormat="1" applyFont="1" applyFill="1"/>
    <xf numFmtId="0" fontId="1" fillId="0" borderId="1" xfId="0" applyFont="1" applyBorder="1" applyAlignment="1">
      <alignment horizontal="center"/>
    </xf>
    <xf numFmtId="167" fontId="0" fillId="0" borderId="1" xfId="0" applyNumberFormat="1" applyBorder="1" applyAlignment="1">
      <alignment horizontal="center" vertical="center"/>
    </xf>
    <xf numFmtId="167" fontId="0" fillId="5" borderId="0" xfId="0" applyNumberFormat="1" applyFill="1" applyAlignment="1">
      <alignment horizontal="center"/>
    </xf>
    <xf numFmtId="0" fontId="36" fillId="5" borderId="0" xfId="3" applyFont="1" applyFill="1"/>
    <xf numFmtId="0" fontId="18" fillId="3" borderId="1" xfId="0" applyFont="1" applyFill="1" applyBorder="1" applyAlignment="1">
      <alignment horizontal="center" vertical="center" wrapText="1"/>
    </xf>
    <xf numFmtId="37" fontId="1" fillId="0" borderId="1" xfId="0" applyNumberFormat="1" applyFont="1" applyBorder="1" applyAlignment="1">
      <alignment horizontal="center"/>
    </xf>
    <xf numFmtId="164" fontId="1" fillId="0" borderId="1" xfId="1" applyNumberFormat="1" applyFont="1" applyBorder="1" applyAlignment="1">
      <alignment horizontal="center"/>
    </xf>
    <xf numFmtId="164" fontId="1" fillId="5" borderId="1" xfId="1" applyNumberFormat="1" applyFont="1" applyFill="1" applyBorder="1" applyAlignment="1">
      <alignment horizontal="center"/>
    </xf>
    <xf numFmtId="0" fontId="20" fillId="2" borderId="1" xfId="0" applyFont="1" applyFill="1" applyBorder="1" applyAlignment="1">
      <alignment horizontal="center" vertical="center" wrapText="1"/>
    </xf>
    <xf numFmtId="7" fontId="1" fillId="5" borderId="1" xfId="0" quotePrefix="1" applyNumberFormat="1" applyFont="1" applyFill="1" applyBorder="1"/>
    <xf numFmtId="0" fontId="18" fillId="8" borderId="1" xfId="0" applyFont="1" applyFill="1" applyBorder="1" applyAlignment="1">
      <alignment horizontal="center" vertical="center"/>
    </xf>
    <xf numFmtId="37" fontId="1" fillId="5" borderId="1" xfId="0" applyNumberFormat="1" applyFont="1" applyFill="1" applyBorder="1" applyAlignment="1">
      <alignment horizontal="center"/>
    </xf>
    <xf numFmtId="164" fontId="1" fillId="0" borderId="0" xfId="0" applyNumberFormat="1" applyFont="1" applyAlignment="1">
      <alignment horizontal="center"/>
    </xf>
    <xf numFmtId="0" fontId="1" fillId="5" borderId="1" xfId="0" applyFont="1" applyFill="1" applyBorder="1" applyAlignment="1">
      <alignment horizontal="center"/>
    </xf>
    <xf numFmtId="7" fontId="1" fillId="5" borderId="1" xfId="0" applyNumberFormat="1" applyFont="1" applyFill="1" applyBorder="1"/>
    <xf numFmtId="0" fontId="16" fillId="5" borderId="1" xfId="0" applyFont="1" applyFill="1" applyBorder="1" applyAlignment="1">
      <alignment horizontal="center"/>
    </xf>
    <xf numFmtId="0" fontId="19" fillId="0" borderId="1" xfId="0" applyFont="1" applyBorder="1"/>
    <xf numFmtId="0" fontId="19" fillId="5" borderId="1" xfId="0" applyFont="1" applyFill="1" applyBorder="1"/>
    <xf numFmtId="0" fontId="19" fillId="0" borderId="0" xfId="0" applyFont="1"/>
    <xf numFmtId="0" fontId="20" fillId="6" borderId="1" xfId="0" applyFont="1" applyFill="1" applyBorder="1" applyAlignment="1">
      <alignment horizontal="center" vertical="top" wrapText="1"/>
    </xf>
    <xf numFmtId="0" fontId="19" fillId="12" borderId="0" xfId="0" applyFont="1" applyFill="1"/>
    <xf numFmtId="0" fontId="37" fillId="5" borderId="0" xfId="0" applyFont="1" applyFill="1" applyAlignment="1">
      <alignment horizontal="center"/>
    </xf>
    <xf numFmtId="0" fontId="10" fillId="6" borderId="1" xfId="0" applyFont="1" applyFill="1" applyBorder="1" applyAlignment="1">
      <alignment horizontal="left" vertical="center"/>
    </xf>
    <xf numFmtId="49" fontId="10" fillId="12" borderId="1" xfId="0" applyNumberFormat="1" applyFont="1" applyFill="1" applyBorder="1" applyAlignment="1">
      <alignment horizontal="center" vertical="center"/>
    </xf>
    <xf numFmtId="0" fontId="37" fillId="6" borderId="1" xfId="0" applyFont="1" applyFill="1" applyBorder="1" applyAlignment="1">
      <alignment horizontal="center" vertical="center" wrapText="1"/>
    </xf>
    <xf numFmtId="0" fontId="37" fillId="5" borderId="8" xfId="0" applyFont="1" applyFill="1" applyBorder="1" applyAlignment="1">
      <alignment horizontal="left" vertical="center" wrapText="1"/>
    </xf>
    <xf numFmtId="0" fontId="37" fillId="5" borderId="1" xfId="0" applyFont="1" applyFill="1" applyBorder="1" applyAlignment="1">
      <alignment horizontal="left" vertical="center" wrapText="1"/>
    </xf>
    <xf numFmtId="0" fontId="37" fillId="0" borderId="0" xfId="0" applyFont="1" applyAlignment="1">
      <alignment vertical="center"/>
    </xf>
    <xf numFmtId="49" fontId="37" fillId="5" borderId="1" xfId="0" applyNumberFormat="1" applyFont="1" applyFill="1" applyBorder="1" applyAlignment="1">
      <alignment horizontal="left" vertical="center" wrapText="1"/>
    </xf>
    <xf numFmtId="167" fontId="37" fillId="5" borderId="1" xfId="2" applyNumberFormat="1" applyFont="1" applyFill="1" applyBorder="1" applyAlignment="1">
      <alignment horizontal="left" vertical="center"/>
    </xf>
    <xf numFmtId="0" fontId="37" fillId="0" borderId="1" xfId="0" applyFont="1" applyBorder="1" applyAlignment="1">
      <alignment horizontal="left" vertical="center" wrapText="1"/>
    </xf>
    <xf numFmtId="0" fontId="10" fillId="5" borderId="0" xfId="0" applyFont="1" applyFill="1" applyAlignment="1">
      <alignment horizontal="left" vertical="center"/>
    </xf>
    <xf numFmtId="0" fontId="37" fillId="5" borderId="0" xfId="0" applyFont="1" applyFill="1" applyAlignment="1">
      <alignment horizontal="left"/>
    </xf>
    <xf numFmtId="0" fontId="37" fillId="5" borderId="0" xfId="0" applyFont="1" applyFill="1" applyAlignment="1">
      <alignment vertical="center"/>
    </xf>
    <xf numFmtId="0" fontId="10" fillId="5" borderId="1" xfId="0" applyFont="1" applyFill="1" applyBorder="1" applyAlignment="1">
      <alignment horizontal="center" vertical="center" wrapText="1"/>
    </xf>
    <xf numFmtId="49" fontId="10" fillId="6" borderId="1" xfId="0" applyNumberFormat="1" applyFont="1" applyFill="1" applyBorder="1" applyAlignment="1">
      <alignment horizontal="center" vertical="center" wrapText="1"/>
    </xf>
    <xf numFmtId="0" fontId="10" fillId="6" borderId="1" xfId="0" applyFont="1" applyFill="1" applyBorder="1" applyAlignment="1">
      <alignment horizontal="center" vertical="center"/>
    </xf>
    <xf numFmtId="0" fontId="37" fillId="5" borderId="1" xfId="0" applyFont="1" applyFill="1" applyBorder="1" applyAlignment="1">
      <alignment horizontal="center" vertical="center" wrapText="1"/>
    </xf>
    <xf numFmtId="0" fontId="37" fillId="5" borderId="6" xfId="0" applyFont="1" applyFill="1" applyBorder="1" applyAlignment="1">
      <alignment horizontal="center" vertical="center" wrapText="1"/>
    </xf>
    <xf numFmtId="0" fontId="37" fillId="5" borderId="8" xfId="0" applyFont="1" applyFill="1" applyBorder="1" applyAlignment="1">
      <alignment horizontal="center" vertical="center" wrapText="1"/>
    </xf>
    <xf numFmtId="0" fontId="37" fillId="5" borderId="0" xfId="0" applyFont="1" applyFill="1" applyAlignment="1">
      <alignment horizontal="center" vertical="center"/>
    </xf>
    <xf numFmtId="0" fontId="37" fillId="5" borderId="1" xfId="0" applyFont="1" applyFill="1" applyBorder="1" applyAlignment="1">
      <alignment horizontal="center" vertical="center"/>
    </xf>
    <xf numFmtId="0" fontId="37" fillId="0" borderId="0" xfId="0" applyFont="1" applyAlignment="1">
      <alignment horizontal="center" vertical="center"/>
    </xf>
    <xf numFmtId="0" fontId="37" fillId="0" borderId="6" xfId="0" applyFont="1" applyBorder="1" applyAlignment="1">
      <alignment horizontal="center" vertical="center" wrapText="1"/>
    </xf>
    <xf numFmtId="0" fontId="37" fillId="0" borderId="8" xfId="0" applyFont="1" applyBorder="1" applyAlignment="1">
      <alignment horizontal="center" vertical="center" wrapText="1"/>
    </xf>
    <xf numFmtId="1" fontId="37" fillId="5" borderId="1" xfId="0" applyNumberFormat="1" applyFont="1" applyFill="1" applyBorder="1" applyAlignment="1">
      <alignment horizontal="center" vertical="center"/>
    </xf>
    <xf numFmtId="49" fontId="37" fillId="5" borderId="1" xfId="0" applyNumberFormat="1" applyFont="1" applyFill="1" applyBorder="1" applyAlignment="1">
      <alignment horizontal="center" vertical="center"/>
    </xf>
    <xf numFmtId="0" fontId="37" fillId="0" borderId="1" xfId="0" applyFont="1" applyBorder="1" applyAlignment="1">
      <alignment horizontal="center" vertical="center" wrapText="1"/>
    </xf>
    <xf numFmtId="0" fontId="10" fillId="5" borderId="0" xfId="0" applyFont="1" applyFill="1" applyAlignment="1">
      <alignment horizontal="center" vertical="center"/>
    </xf>
    <xf numFmtId="0" fontId="37" fillId="5" borderId="0" xfId="0" applyFont="1" applyFill="1" applyAlignment="1">
      <alignment horizontal="center" vertical="center" wrapText="1"/>
    </xf>
    <xf numFmtId="0" fontId="10" fillId="5" borderId="0" xfId="0" applyFont="1" applyFill="1" applyAlignment="1">
      <alignment horizontal="right" vertical="center"/>
    </xf>
    <xf numFmtId="0" fontId="37" fillId="5" borderId="0" xfId="0" applyFont="1" applyFill="1" applyAlignment="1">
      <alignment horizontal="right" vertical="center"/>
    </xf>
    <xf numFmtId="0" fontId="13" fillId="5" borderId="0" xfId="0" applyFont="1" applyFill="1" applyBorder="1" applyAlignment="1">
      <alignment horizontal="left"/>
    </xf>
    <xf numFmtId="167" fontId="0" fillId="5" borderId="0" xfId="0" applyNumberFormat="1" applyFill="1" applyBorder="1" applyAlignment="1">
      <alignment horizontal="center"/>
    </xf>
    <xf numFmtId="167" fontId="37" fillId="5" borderId="0" xfId="0" applyNumberFormat="1" applyFont="1" applyFill="1" applyBorder="1" applyAlignment="1">
      <alignment horizontal="center"/>
    </xf>
    <xf numFmtId="0" fontId="38" fillId="5" borderId="0" xfId="0" applyFont="1" applyFill="1" applyBorder="1"/>
    <xf numFmtId="37" fontId="38" fillId="5" borderId="0" xfId="0" applyNumberFormat="1" applyFont="1" applyFill="1" applyBorder="1" applyAlignment="1">
      <alignment horizontal="center"/>
    </xf>
    <xf numFmtId="0" fontId="16" fillId="5" borderId="0" xfId="0" applyFont="1" applyFill="1" applyBorder="1"/>
    <xf numFmtId="39" fontId="16" fillId="5" borderId="0" xfId="0" applyNumberFormat="1" applyFont="1" applyFill="1" applyBorder="1"/>
    <xf numFmtId="37" fontId="16" fillId="5" borderId="0" xfId="0" applyNumberFormat="1" applyFont="1" applyFill="1" applyBorder="1"/>
    <xf numFmtId="165" fontId="16" fillId="5" borderId="0" xfId="0" applyNumberFormat="1" applyFont="1" applyFill="1" applyBorder="1"/>
    <xf numFmtId="7" fontId="16" fillId="5" borderId="0" xfId="0" applyNumberFormat="1" applyFont="1" applyFill="1" applyBorder="1"/>
    <xf numFmtId="7" fontId="19" fillId="5" borderId="0" xfId="0" applyNumberFormat="1" applyFont="1" applyFill="1" applyBorder="1"/>
    <xf numFmtId="7" fontId="16" fillId="5" borderId="1" xfId="0" applyNumberFormat="1" applyFont="1" applyFill="1" applyBorder="1"/>
    <xf numFmtId="0" fontId="18" fillId="6" borderId="19" xfId="0" applyFont="1" applyFill="1" applyBorder="1" applyAlignment="1">
      <alignment horizontal="center" vertical="center" wrapText="1"/>
    </xf>
    <xf numFmtId="0" fontId="26" fillId="14" borderId="6" xfId="0" applyFont="1" applyFill="1" applyBorder="1" applyAlignment="1">
      <alignment horizontal="center" vertical="center"/>
    </xf>
    <xf numFmtId="166" fontId="24" fillId="6" borderId="6" xfId="0" applyNumberFormat="1" applyFont="1" applyFill="1" applyBorder="1" applyAlignment="1">
      <alignment horizontal="center"/>
    </xf>
    <xf numFmtId="0" fontId="26" fillId="13" borderId="16" xfId="0" applyFont="1" applyFill="1" applyBorder="1" applyAlignment="1">
      <alignment horizontal="center" vertical="center" wrapText="1"/>
    </xf>
    <xf numFmtId="9" fontId="20" fillId="5" borderId="0" xfId="1" applyFont="1" applyFill="1" applyBorder="1" applyAlignment="1">
      <alignment horizontal="center"/>
    </xf>
    <xf numFmtId="9" fontId="19" fillId="5" borderId="0" xfId="1" applyFont="1" applyFill="1" applyBorder="1" applyAlignment="1">
      <alignment horizontal="center" vertical="center"/>
    </xf>
    <xf numFmtId="0" fontId="40" fillId="3" borderId="1" xfId="0" applyFont="1" applyFill="1" applyBorder="1" applyAlignment="1">
      <alignment horizontal="center" vertical="center"/>
    </xf>
    <xf numFmtId="0" fontId="40" fillId="6" borderId="1" xfId="0" applyFont="1" applyFill="1" applyBorder="1" applyAlignment="1">
      <alignment horizontal="center" vertical="center"/>
    </xf>
    <xf numFmtId="0" fontId="41" fillId="5" borderId="1" xfId="0" applyFont="1" applyFill="1" applyBorder="1" applyAlignment="1">
      <alignment vertical="center"/>
    </xf>
    <xf numFmtId="167" fontId="41" fillId="5" borderId="1" xfId="0" applyNumberFormat="1" applyFont="1" applyFill="1" applyBorder="1" applyAlignment="1">
      <alignment horizontal="center" vertical="center"/>
    </xf>
    <xf numFmtId="8" fontId="41" fillId="5" borderId="1" xfId="0" applyNumberFormat="1" applyFont="1" applyFill="1" applyBorder="1" applyAlignment="1">
      <alignment horizontal="center" vertical="center"/>
    </xf>
    <xf numFmtId="0" fontId="40" fillId="8" borderId="1" xfId="0" applyFont="1" applyFill="1" applyBorder="1" applyAlignment="1">
      <alignment vertical="center"/>
    </xf>
    <xf numFmtId="167" fontId="40" fillId="8" borderId="1" xfId="0" applyNumberFormat="1" applyFont="1" applyFill="1" applyBorder="1" applyAlignment="1">
      <alignment horizontal="center" vertical="center"/>
    </xf>
    <xf numFmtId="8" fontId="13" fillId="5" borderId="0" xfId="0" applyNumberFormat="1" applyFont="1" applyFill="1" applyAlignment="1">
      <alignment horizontal="center" vertical="center"/>
    </xf>
    <xf numFmtId="0" fontId="45" fillId="10" borderId="24" xfId="9" applyFont="1" applyFill="1" applyBorder="1" applyAlignment="1">
      <alignment horizontal="center" wrapText="1"/>
    </xf>
    <xf numFmtId="0" fontId="45" fillId="10" borderId="1" xfId="9" applyFont="1" applyFill="1" applyBorder="1" applyAlignment="1">
      <alignment horizontal="center" wrapText="1"/>
    </xf>
    <xf numFmtId="0" fontId="45" fillId="0" borderId="1" xfId="9" applyFont="1" applyBorder="1" applyAlignment="1">
      <alignment horizontal="center" wrapText="1"/>
    </xf>
    <xf numFmtId="0" fontId="45" fillId="0" borderId="25" xfId="9" applyFont="1" applyBorder="1" applyAlignment="1">
      <alignment horizontal="center" wrapText="1"/>
    </xf>
    <xf numFmtId="167" fontId="46" fillId="10" borderId="1" xfId="9" applyNumberFormat="1" applyFont="1" applyFill="1" applyBorder="1" applyAlignment="1">
      <alignment horizontal="center"/>
    </xf>
    <xf numFmtId="167" fontId="46" fillId="0" borderId="1" xfId="9" applyNumberFormat="1" applyFont="1" applyBorder="1" applyAlignment="1">
      <alignment horizontal="center"/>
    </xf>
    <xf numFmtId="8" fontId="46" fillId="0" borderId="1" xfId="9" applyNumberFormat="1" applyFont="1" applyBorder="1" applyAlignment="1">
      <alignment horizontal="center" wrapText="1"/>
    </xf>
    <xf numFmtId="0" fontId="43" fillId="16" borderId="0" xfId="9" applyFill="1"/>
    <xf numFmtId="0" fontId="43" fillId="17" borderId="0" xfId="9" applyFill="1"/>
    <xf numFmtId="0" fontId="43" fillId="0" borderId="0" xfId="9"/>
    <xf numFmtId="0" fontId="43" fillId="0" borderId="1" xfId="9" applyBorder="1" applyAlignment="1">
      <alignment wrapText="1"/>
    </xf>
    <xf numFmtId="8" fontId="43" fillId="0" borderId="1" xfId="9" applyNumberFormat="1" applyBorder="1" applyAlignment="1">
      <alignment horizontal="center" wrapText="1"/>
    </xf>
    <xf numFmtId="8" fontId="46" fillId="0" borderId="18" xfId="9" applyNumberFormat="1" applyFont="1" applyBorder="1" applyAlignment="1">
      <alignment horizontal="center" vertical="center" wrapText="1"/>
    </xf>
    <xf numFmtId="0" fontId="43" fillId="0" borderId="1" xfId="9" applyBorder="1" applyAlignment="1">
      <alignment horizontal="center" wrapText="1"/>
    </xf>
    <xf numFmtId="0" fontId="43" fillId="10" borderId="1" xfId="9" applyFill="1" applyBorder="1" applyAlignment="1">
      <alignment wrapText="1"/>
    </xf>
    <xf numFmtId="8" fontId="43" fillId="10" borderId="1" xfId="9" applyNumberFormat="1" applyFill="1" applyBorder="1" applyAlignment="1">
      <alignment horizontal="center" wrapText="1"/>
    </xf>
    <xf numFmtId="0" fontId="45" fillId="0" borderId="1" xfId="9" applyFont="1" applyBorder="1" applyAlignment="1">
      <alignment wrapText="1"/>
    </xf>
    <xf numFmtId="8" fontId="43" fillId="0" borderId="1" xfId="9" applyNumberFormat="1" applyBorder="1"/>
    <xf numFmtId="0" fontId="48" fillId="5" borderId="0" xfId="0" applyFont="1" applyFill="1"/>
    <xf numFmtId="0" fontId="21" fillId="5" borderId="0" xfId="0" applyFont="1" applyFill="1" applyBorder="1"/>
    <xf numFmtId="0" fontId="26" fillId="5" borderId="0" xfId="0" applyFont="1" applyFill="1" applyBorder="1" applyAlignment="1">
      <alignment vertical="center"/>
    </xf>
    <xf numFmtId="0" fontId="20" fillId="5" borderId="0" xfId="0" applyFont="1" applyFill="1" applyBorder="1" applyAlignment="1">
      <alignment horizontal="center" vertical="center" wrapText="1"/>
    </xf>
    <xf numFmtId="1" fontId="19" fillId="5" borderId="0" xfId="1" quotePrefix="1" applyNumberFormat="1" applyFont="1" applyFill="1" applyBorder="1" applyAlignment="1">
      <alignment horizontal="center"/>
    </xf>
    <xf numFmtId="2" fontId="19" fillId="5" borderId="0" xfId="1" applyNumberFormat="1" applyFont="1" applyFill="1" applyBorder="1" applyAlignment="1">
      <alignment horizontal="center"/>
    </xf>
    <xf numFmtId="0" fontId="19" fillId="5" borderId="0" xfId="0" applyFont="1" applyFill="1" applyBorder="1"/>
    <xf numFmtId="0" fontId="20" fillId="5" borderId="0" xfId="0" applyFont="1" applyFill="1" applyBorder="1" applyAlignment="1">
      <alignment horizontal="center" vertical="center"/>
    </xf>
    <xf numFmtId="0" fontId="19" fillId="5" borderId="0" xfId="0" applyFont="1" applyFill="1" applyBorder="1" applyAlignment="1">
      <alignment horizontal="center"/>
    </xf>
    <xf numFmtId="49" fontId="16" fillId="0" borderId="1" xfId="0" applyNumberFormat="1" applyFont="1" applyBorder="1" applyAlignment="1">
      <alignment horizontal="left"/>
    </xf>
    <xf numFmtId="49" fontId="16" fillId="5" borderId="1" xfId="0" applyNumberFormat="1" applyFont="1" applyFill="1" applyBorder="1" applyAlignment="1">
      <alignment horizontal="left"/>
    </xf>
    <xf numFmtId="0" fontId="16" fillId="0" borderId="0" xfId="0" applyFont="1" applyAlignment="1">
      <alignment horizontal="left"/>
    </xf>
    <xf numFmtId="0" fontId="1" fillId="5" borderId="0" xfId="0" applyFont="1" applyFill="1" applyBorder="1" applyAlignment="1">
      <alignment horizontal="right"/>
    </xf>
    <xf numFmtId="167" fontId="1" fillId="5" borderId="0" xfId="0" applyNumberFormat="1" applyFont="1" applyFill="1" applyBorder="1"/>
    <xf numFmtId="167" fontId="13" fillId="5" borderId="1" xfId="0" applyNumberFormat="1" applyFont="1" applyFill="1" applyBorder="1" applyAlignment="1">
      <alignment horizontal="center"/>
    </xf>
    <xf numFmtId="0" fontId="2" fillId="4" borderId="1" xfId="0" applyFont="1" applyFill="1" applyBorder="1" applyAlignment="1">
      <alignment horizontal="center" vertical="center" wrapText="1"/>
    </xf>
    <xf numFmtId="0" fontId="51" fillId="5" borderId="0" xfId="0" applyFont="1" applyFill="1"/>
    <xf numFmtId="0" fontId="51" fillId="5" borderId="0" xfId="0" applyFont="1" applyFill="1" applyAlignment="1">
      <alignment horizontal="left"/>
    </xf>
    <xf numFmtId="0" fontId="51" fillId="5" borderId="0" xfId="0" applyFont="1" applyFill="1" applyAlignment="1">
      <alignment horizontal="left" wrapText="1"/>
    </xf>
    <xf numFmtId="0" fontId="26" fillId="14" borderId="1" xfId="0" applyFont="1" applyFill="1" applyBorder="1" applyAlignment="1">
      <alignment horizontal="center"/>
    </xf>
    <xf numFmtId="3" fontId="26" fillId="14" borderId="1" xfId="0" applyNumberFormat="1" applyFont="1" applyFill="1" applyBorder="1" applyAlignment="1">
      <alignment horizontal="center"/>
    </xf>
    <xf numFmtId="166" fontId="24" fillId="11" borderId="5" xfId="2" applyNumberFormat="1" applyFont="1" applyFill="1" applyBorder="1" applyAlignment="1">
      <alignment horizontal="center" vertical="center" wrapText="1"/>
    </xf>
    <xf numFmtId="0" fontId="27" fillId="6" borderId="26" xfId="3" applyFont="1" applyFill="1" applyBorder="1" applyAlignment="1">
      <alignment horizontal="center" vertical="center"/>
    </xf>
    <xf numFmtId="10" fontId="26" fillId="13" borderId="28" xfId="0" applyNumberFormat="1" applyFont="1" applyFill="1" applyBorder="1" applyAlignment="1">
      <alignment horizontal="center"/>
    </xf>
    <xf numFmtId="0" fontId="52" fillId="5" borderId="0" xfId="0" applyFont="1" applyFill="1" applyAlignment="1">
      <alignment horizontal="left"/>
    </xf>
    <xf numFmtId="0" fontId="16" fillId="0" borderId="0" xfId="0" applyFont="1" applyFill="1"/>
    <xf numFmtId="37" fontId="16" fillId="0" borderId="0" xfId="0" applyNumberFormat="1" applyFont="1" applyFill="1"/>
    <xf numFmtId="0" fontId="18" fillId="4" borderId="1" xfId="0" applyFont="1" applyFill="1" applyBorder="1" applyAlignment="1">
      <alignment horizontal="center" vertical="center" wrapText="1"/>
    </xf>
    <xf numFmtId="0" fontId="16" fillId="0" borderId="0" xfId="0" applyFont="1" applyAlignment="1">
      <alignment horizontal="center"/>
    </xf>
    <xf numFmtId="0" fontId="53" fillId="0" borderId="0" xfId="0" applyFont="1" applyAlignment="1">
      <alignment horizontal="center"/>
    </xf>
    <xf numFmtId="0" fontId="38" fillId="0" borderId="0" xfId="0" applyFont="1" applyAlignment="1">
      <alignment horizontal="center"/>
    </xf>
    <xf numFmtId="37" fontId="2" fillId="7" borderId="30" xfId="0" applyNumberFormat="1" applyFont="1" applyFill="1" applyBorder="1" applyAlignment="1">
      <alignment horizontal="center" vertical="center" wrapText="1"/>
    </xf>
    <xf numFmtId="37" fontId="2" fillId="7" borderId="31" xfId="0" applyNumberFormat="1" applyFont="1" applyFill="1" applyBorder="1" applyAlignment="1">
      <alignment horizontal="center" vertical="center" wrapText="1"/>
    </xf>
    <xf numFmtId="37" fontId="2" fillId="7" borderId="32" xfId="0" applyNumberFormat="1" applyFont="1" applyFill="1" applyBorder="1" applyAlignment="1">
      <alignment horizontal="center" vertical="center" wrapText="1"/>
    </xf>
    <xf numFmtId="37" fontId="2" fillId="3" borderId="5" xfId="0" applyNumberFormat="1" applyFont="1" applyFill="1" applyBorder="1" applyAlignment="1">
      <alignment horizontal="center" vertical="center" wrapText="1"/>
    </xf>
    <xf numFmtId="37" fontId="2" fillId="3" borderId="6" xfId="0" applyNumberFormat="1" applyFont="1" applyFill="1" applyBorder="1" applyAlignment="1">
      <alignment horizontal="center" vertical="center" wrapText="1"/>
    </xf>
    <xf numFmtId="7" fontId="1" fillId="5" borderId="8" xfId="0" applyNumberFormat="1" applyFont="1" applyFill="1" applyBorder="1"/>
    <xf numFmtId="7" fontId="1" fillId="5" borderId="8" xfId="0" quotePrefix="1" applyNumberFormat="1" applyFont="1" applyFill="1" applyBorder="1"/>
    <xf numFmtId="167" fontId="1" fillId="5" borderId="1" xfId="0" applyNumberFormat="1" applyFont="1" applyFill="1" applyBorder="1" applyAlignment="1">
      <alignment horizontal="center"/>
    </xf>
    <xf numFmtId="0" fontId="51" fillId="5" borderId="0" xfId="0" applyFont="1" applyFill="1" applyAlignment="1">
      <alignment horizontal="left" wrapText="1" indent="5"/>
    </xf>
    <xf numFmtId="0" fontId="6" fillId="5" borderId="0" xfId="0" applyFont="1" applyFill="1" applyAlignment="1">
      <alignment horizontal="center"/>
    </xf>
    <xf numFmtId="0" fontId="1" fillId="5" borderId="0" xfId="0" applyFont="1" applyFill="1" applyAlignment="1">
      <alignment horizontal="center"/>
    </xf>
    <xf numFmtId="0" fontId="18" fillId="18" borderId="1" xfId="0" applyFont="1" applyFill="1" applyBorder="1" applyAlignment="1">
      <alignment horizontal="center" vertical="center" wrapText="1"/>
    </xf>
    <xf numFmtId="0" fontId="2" fillId="18" borderId="1" xfId="0" applyFont="1" applyFill="1" applyBorder="1" applyAlignment="1">
      <alignment horizontal="center" vertical="center" wrapText="1"/>
    </xf>
    <xf numFmtId="0" fontId="21" fillId="5" borderId="0" xfId="0" applyFont="1" applyFill="1"/>
    <xf numFmtId="167" fontId="19" fillId="5" borderId="0" xfId="0" applyNumberFormat="1" applyFont="1" applyFill="1" applyAlignment="1">
      <alignment vertical="center" wrapText="1"/>
    </xf>
    <xf numFmtId="167" fontId="19" fillId="5" borderId="0" xfId="0" applyNumberFormat="1" applyFont="1" applyFill="1"/>
    <xf numFmtId="0" fontId="54" fillId="5" borderId="0" xfId="0" applyFont="1" applyFill="1" applyAlignment="1">
      <alignment horizontal="left" wrapText="1" indent="5"/>
    </xf>
    <xf numFmtId="3" fontId="39" fillId="5" borderId="11" xfId="0" applyNumberFormat="1" applyFont="1" applyFill="1" applyBorder="1" applyAlignment="1">
      <alignment horizontal="center" vertical="center"/>
    </xf>
    <xf numFmtId="0" fontId="2" fillId="11" borderId="1" xfId="0" applyFont="1" applyFill="1" applyBorder="1" applyAlignment="1">
      <alignment horizontal="right" vertical="center"/>
    </xf>
    <xf numFmtId="0" fontId="18" fillId="11" borderId="1" xfId="0" applyFont="1" applyFill="1" applyBorder="1" applyAlignment="1">
      <alignment horizontal="right" vertical="center" wrapText="1"/>
    </xf>
    <xf numFmtId="171" fontId="1" fillId="11" borderId="5" xfId="0" applyNumberFormat="1" applyFont="1" applyFill="1" applyBorder="1" applyAlignment="1">
      <alignment horizontal="center"/>
    </xf>
    <xf numFmtId="171" fontId="16" fillId="11" borderId="5" xfId="0" applyNumberFormat="1" applyFont="1" applyFill="1" applyBorder="1" applyAlignment="1">
      <alignment horizontal="center"/>
    </xf>
    <xf numFmtId="0" fontId="9" fillId="5" borderId="1" xfId="0" applyFont="1" applyFill="1" applyBorder="1" applyAlignment="1">
      <alignment horizontal="center" vertical="center" wrapText="1"/>
    </xf>
    <xf numFmtId="0" fontId="33" fillId="5" borderId="7" xfId="0" applyFont="1" applyFill="1" applyBorder="1" applyAlignment="1">
      <alignment horizontal="center" vertical="center"/>
    </xf>
    <xf numFmtId="0" fontId="33" fillId="5" borderId="1" xfId="0" applyFont="1" applyFill="1" applyBorder="1" applyAlignment="1">
      <alignment horizontal="center" vertical="center"/>
    </xf>
    <xf numFmtId="0" fontId="15" fillId="5" borderId="1" xfId="0" applyFont="1" applyFill="1" applyBorder="1" applyAlignment="1">
      <alignment horizontal="center" vertical="center" wrapText="1"/>
    </xf>
    <xf numFmtId="0" fontId="15" fillId="5" borderId="1" xfId="0" applyFont="1" applyFill="1" applyBorder="1" applyAlignment="1">
      <alignment horizontal="center" vertical="center"/>
    </xf>
    <xf numFmtId="0" fontId="2" fillId="5" borderId="0" xfId="0" applyFont="1" applyFill="1" applyBorder="1" applyAlignment="1">
      <alignment horizontal="center" wrapText="1"/>
    </xf>
    <xf numFmtId="0" fontId="26" fillId="13" borderId="17" xfId="0" applyFont="1" applyFill="1" applyBorder="1" applyAlignment="1">
      <alignment horizontal="center" vertical="center"/>
    </xf>
    <xf numFmtId="0" fontId="26" fillId="13" borderId="27" xfId="0" applyFont="1" applyFill="1" applyBorder="1" applyAlignment="1">
      <alignment horizontal="center" vertical="center"/>
    </xf>
    <xf numFmtId="0" fontId="26" fillId="13" borderId="20" xfId="0" applyFont="1" applyFill="1" applyBorder="1" applyAlignment="1">
      <alignment horizontal="center" vertical="center"/>
    </xf>
    <xf numFmtId="0" fontId="26" fillId="5" borderId="0" xfId="0" applyFont="1" applyFill="1" applyBorder="1" applyAlignment="1">
      <alignment horizontal="center" vertical="center" wrapText="1"/>
    </xf>
    <xf numFmtId="0" fontId="26" fillId="13" borderId="17" xfId="0" applyFont="1" applyFill="1" applyBorder="1" applyAlignment="1">
      <alignment horizontal="center" vertical="center" wrapText="1"/>
    </xf>
    <xf numFmtId="0" fontId="26" fillId="13" borderId="20" xfId="0" applyFont="1" applyFill="1" applyBorder="1" applyAlignment="1">
      <alignment horizontal="center" vertical="center" wrapText="1"/>
    </xf>
    <xf numFmtId="9" fontId="18" fillId="8" borderId="2" xfId="1" applyFont="1" applyFill="1" applyBorder="1" applyAlignment="1">
      <alignment horizontal="center"/>
    </xf>
    <xf numFmtId="0" fontId="18" fillId="8" borderId="1" xfId="0" applyFont="1" applyFill="1" applyBorder="1" applyAlignment="1">
      <alignment horizontal="center" vertical="center"/>
    </xf>
    <xf numFmtId="9" fontId="18" fillId="18" borderId="5" xfId="1" applyFont="1" applyFill="1" applyBorder="1" applyAlignment="1">
      <alignment horizontal="center"/>
    </xf>
    <xf numFmtId="9" fontId="18" fillId="18" borderId="6" xfId="1" applyFont="1" applyFill="1" applyBorder="1" applyAlignment="1">
      <alignment horizontal="center"/>
    </xf>
    <xf numFmtId="0" fontId="18" fillId="18" borderId="9" xfId="0" applyFont="1" applyFill="1" applyBorder="1" applyAlignment="1">
      <alignment horizontal="center" vertical="center"/>
    </xf>
    <xf numFmtId="0" fontId="18" fillId="18" borderId="11" xfId="0" applyFont="1" applyFill="1" applyBorder="1" applyAlignment="1">
      <alignment horizontal="center" vertical="center"/>
    </xf>
    <xf numFmtId="0" fontId="33" fillId="18" borderId="1" xfId="0" applyFont="1" applyFill="1" applyBorder="1" applyAlignment="1">
      <alignment horizontal="center" vertical="center"/>
    </xf>
    <xf numFmtId="37" fontId="35" fillId="0" borderId="0" xfId="0" applyNumberFormat="1" applyFont="1" applyAlignment="1">
      <alignment horizontal="center" vertical="center" wrapText="1"/>
    </xf>
    <xf numFmtId="0" fontId="26" fillId="14" borderId="1" xfId="0" applyFont="1" applyFill="1" applyBorder="1" applyAlignment="1">
      <alignment horizontal="center" vertical="center" wrapText="1"/>
    </xf>
    <xf numFmtId="37" fontId="2" fillId="7" borderId="13" xfId="0" applyNumberFormat="1" applyFont="1" applyFill="1" applyBorder="1" applyAlignment="1">
      <alignment horizontal="center"/>
    </xf>
    <xf numFmtId="37" fontId="2" fillId="7" borderId="15" xfId="0" applyNumberFormat="1" applyFont="1" applyFill="1" applyBorder="1" applyAlignment="1">
      <alignment horizontal="center"/>
    </xf>
    <xf numFmtId="37" fontId="2" fillId="7" borderId="29" xfId="0" applyNumberFormat="1" applyFont="1" applyFill="1" applyBorder="1" applyAlignment="1">
      <alignment horizontal="center"/>
    </xf>
    <xf numFmtId="0" fontId="0" fillId="5" borderId="0" xfId="0" applyFont="1" applyFill="1" applyBorder="1" applyAlignment="1">
      <alignment horizontal="left" vertical="center" wrapText="1"/>
    </xf>
    <xf numFmtId="0" fontId="22" fillId="0" borderId="5" xfId="9" applyFont="1" applyBorder="1" applyAlignment="1">
      <alignment horizontal="left" wrapText="1"/>
    </xf>
    <xf numFmtId="0" fontId="22" fillId="0" borderId="10" xfId="9" applyFont="1" applyBorder="1" applyAlignment="1">
      <alignment horizontal="left" wrapText="1"/>
    </xf>
    <xf numFmtId="0" fontId="22" fillId="0" borderId="6" xfId="9" applyFont="1" applyBorder="1" applyAlignment="1">
      <alignment horizontal="left" wrapText="1"/>
    </xf>
    <xf numFmtId="0" fontId="43" fillId="0" borderId="8" xfId="9" applyBorder="1" applyAlignment="1">
      <alignment horizontal="left" wrapText="1"/>
    </xf>
    <xf numFmtId="0" fontId="45" fillId="15" borderId="1" xfId="9" applyFont="1" applyFill="1" applyBorder="1" applyAlignment="1">
      <alignment horizontal="center" wrapText="1"/>
    </xf>
    <xf numFmtId="0" fontId="43" fillId="16" borderId="3" xfId="9" applyFill="1" applyBorder="1" applyAlignment="1">
      <alignment horizontal="center"/>
    </xf>
    <xf numFmtId="0" fontId="43" fillId="16" borderId="12" xfId="9" applyFill="1" applyBorder="1" applyAlignment="1">
      <alignment horizontal="center"/>
    </xf>
    <xf numFmtId="0" fontId="43" fillId="16" borderId="4" xfId="9" applyFill="1" applyBorder="1" applyAlignment="1">
      <alignment horizontal="center"/>
    </xf>
    <xf numFmtId="0" fontId="45" fillId="15" borderId="21" xfId="9" applyFont="1" applyFill="1" applyBorder="1" applyAlignment="1">
      <alignment horizontal="center" wrapText="1"/>
    </xf>
    <xf numFmtId="0" fontId="45" fillId="15" borderId="7" xfId="9" applyFont="1" applyFill="1" applyBorder="1" applyAlignment="1">
      <alignment horizontal="center" wrapText="1"/>
    </xf>
    <xf numFmtId="0" fontId="45" fillId="0" borderId="5" xfId="9" applyFont="1" applyBorder="1" applyAlignment="1">
      <alignment horizontal="center" wrapText="1"/>
    </xf>
    <xf numFmtId="0" fontId="45" fillId="0" borderId="10" xfId="9" applyFont="1" applyBorder="1" applyAlignment="1">
      <alignment horizontal="center" wrapText="1"/>
    </xf>
    <xf numFmtId="0" fontId="45" fillId="0" borderId="6" xfId="9" applyFont="1" applyBorder="1" applyAlignment="1">
      <alignment horizontal="center" wrapText="1"/>
    </xf>
    <xf numFmtId="0" fontId="43" fillId="0" borderId="5" xfId="9" applyBorder="1" applyAlignment="1">
      <alignment horizontal="left" wrapText="1"/>
    </xf>
    <xf numFmtId="0" fontId="43" fillId="0" borderId="10" xfId="9" applyBorder="1" applyAlignment="1">
      <alignment horizontal="left" wrapText="1"/>
    </xf>
    <xf numFmtId="0" fontId="43" fillId="0" borderId="6" xfId="9" applyBorder="1" applyAlignment="1">
      <alignment horizontal="left" wrapText="1"/>
    </xf>
    <xf numFmtId="0" fontId="45" fillId="0" borderId="1" xfId="9" applyFont="1" applyBorder="1" applyAlignment="1">
      <alignment horizontal="center" wrapText="1"/>
    </xf>
    <xf numFmtId="0" fontId="45" fillId="0" borderId="22" xfId="9" applyFont="1" applyBorder="1" applyAlignment="1">
      <alignment horizontal="center" wrapText="1"/>
    </xf>
    <xf numFmtId="0" fontId="45" fillId="0" borderId="23" xfId="9" applyFont="1" applyBorder="1" applyAlignment="1">
      <alignment horizontal="center" wrapText="1"/>
    </xf>
    <xf numFmtId="0" fontId="45" fillId="10" borderId="22" xfId="9" applyFont="1" applyFill="1" applyBorder="1" applyAlignment="1">
      <alignment horizontal="center" wrapText="1"/>
    </xf>
    <xf numFmtId="0" fontId="45" fillId="10" borderId="6" xfId="9" applyFont="1" applyFill="1" applyBorder="1" applyAlignment="1">
      <alignment horizontal="center" wrapText="1"/>
    </xf>
    <xf numFmtId="0" fontId="45" fillId="15" borderId="9" xfId="9" applyFont="1" applyFill="1" applyBorder="1" applyAlignment="1">
      <alignment horizontal="center" wrapText="1"/>
    </xf>
    <xf numFmtId="0" fontId="44" fillId="10" borderId="0" xfId="9" applyFont="1" applyFill="1" applyAlignment="1">
      <alignment horizontal="center"/>
    </xf>
    <xf numFmtId="0" fontId="49" fillId="6" borderId="1" xfId="0" applyFont="1" applyFill="1" applyBorder="1" applyAlignment="1">
      <alignment horizontal="center" vertical="center"/>
    </xf>
    <xf numFmtId="0" fontId="40" fillId="6" borderId="2" xfId="0" applyFont="1" applyFill="1" applyBorder="1" applyAlignment="1">
      <alignment horizontal="center" vertical="center"/>
    </xf>
    <xf numFmtId="0" fontId="40" fillId="6" borderId="8" xfId="0" applyFont="1" applyFill="1" applyBorder="1" applyAlignment="1">
      <alignment horizontal="center" vertical="center"/>
    </xf>
    <xf numFmtId="0" fontId="40" fillId="6" borderId="1" xfId="0" applyFont="1" applyFill="1" applyBorder="1" applyAlignment="1">
      <alignment horizontal="center" vertical="center"/>
    </xf>
    <xf numFmtId="0" fontId="42" fillId="3" borderId="1" xfId="0" applyFont="1" applyFill="1" applyBorder="1" applyAlignment="1">
      <alignment horizontal="center" vertical="center" wrapText="1"/>
    </xf>
  </cellXfs>
  <cellStyles count="10">
    <cellStyle name="Comma" xfId="2" builtinId="3"/>
    <cellStyle name="Comma 2" xfId="8" xr:uid="{E7A3449B-65EF-41F0-884B-AB5472F6BE1B}"/>
    <cellStyle name="Currency" xfId="4" builtinId="4"/>
    <cellStyle name="Hyperlink" xfId="3" builtinId="8"/>
    <cellStyle name="Hyperlink 2" xfId="6" xr:uid="{8050F2FA-7242-4478-B247-291755C498F2}"/>
    <cellStyle name="Normal" xfId="0" builtinId="0"/>
    <cellStyle name="Normal 2" xfId="5" xr:uid="{1851C98D-421D-402A-935F-1807AB145E83}"/>
    <cellStyle name="Normal 3" xfId="7" xr:uid="{757BD5CB-DE8B-4C00-8172-10B87E75741D}"/>
    <cellStyle name="Normal 3 2" xfId="9" xr:uid="{1F9262FA-ED5B-4E24-B80F-4E6A917A4DDA}"/>
    <cellStyle name="Percent" xfId="1" builtinId="5"/>
  </cellStyles>
  <dxfs count="0"/>
  <tableStyles count="0" defaultTableStyle="TableStyleMedium2" defaultPivotStyle="PivotStyleLight16"/>
  <colors>
    <mruColors>
      <color rgb="FFC2C6EA"/>
      <color rgb="FFFB79EC"/>
      <color rgb="FFFF66FF"/>
      <color rgb="FF0000CC"/>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cms.gov/Medicare/Quality-Initiatives-Patient-Assessment-Instruments/Value-Based-Programs/HAC/Hospital-Acquired-Conditions" TargetMode="External"/><Relationship Id="rId1" Type="http://schemas.openxmlformats.org/officeDocument/2006/relationships/hyperlink" Target="https://www.cms.gov/Medicare/Quality-Initiatives-Patient-Assessment-Instruments/Value-Based-Programs/HRRP/Hospital-Readmission-Reduction-Program"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3.bin"/><Relationship Id="rId1" Type="http://schemas.openxmlformats.org/officeDocument/2006/relationships/hyperlink" Target="https://hcpf.colorado.gov/sites/hcpf/files/3%20S-1A%2C%20BA-1-%20MSP%20Exhibit%20B.pdf" TargetMode="External"/><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cms.gov/medicare/acute-inpatient-pps/fy-2022-ipps-final-rule-home-pag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2DF493-8574-4754-941F-7659416C5DC8}">
  <sheetPr>
    <tabColor rgb="FF00B050"/>
  </sheetPr>
  <dimension ref="A1:A22"/>
  <sheetViews>
    <sheetView tabSelected="1" workbookViewId="0">
      <selection activeCell="A4" sqref="A4"/>
    </sheetView>
  </sheetViews>
  <sheetFormatPr defaultColWidth="8.90625" defaultRowHeight="18.5" x14ac:dyDescent="0.45"/>
  <cols>
    <col min="1" max="1" width="141.453125" style="274" customWidth="1"/>
    <col min="2" max="16384" width="8.90625" style="273"/>
  </cols>
  <sheetData>
    <row r="1" spans="1:1" ht="23.5" x14ac:dyDescent="0.55000000000000004">
      <c r="A1" s="281" t="s">
        <v>259</v>
      </c>
    </row>
    <row r="2" spans="1:1" ht="10.75" customHeight="1" x14ac:dyDescent="0.45"/>
    <row r="3" spans="1:1" x14ac:dyDescent="0.45">
      <c r="A3" s="275" t="s">
        <v>260</v>
      </c>
    </row>
    <row r="4" spans="1:1" x14ac:dyDescent="0.45">
      <c r="A4" s="275"/>
    </row>
    <row r="5" spans="1:1" ht="37" x14ac:dyDescent="0.45">
      <c r="A5" s="275" t="s">
        <v>264</v>
      </c>
    </row>
    <row r="6" spans="1:1" x14ac:dyDescent="0.45">
      <c r="A6" s="275"/>
    </row>
    <row r="7" spans="1:1" x14ac:dyDescent="0.45">
      <c r="A7" s="275" t="s">
        <v>261</v>
      </c>
    </row>
    <row r="8" spans="1:1" x14ac:dyDescent="0.45">
      <c r="A8" s="275"/>
    </row>
    <row r="9" spans="1:1" ht="37" x14ac:dyDescent="0.45">
      <c r="A9" s="275" t="s">
        <v>268</v>
      </c>
    </row>
    <row r="10" spans="1:1" x14ac:dyDescent="0.45">
      <c r="A10" s="275"/>
    </row>
    <row r="11" spans="1:1" x14ac:dyDescent="0.45">
      <c r="A11" s="275" t="s">
        <v>262</v>
      </c>
    </row>
    <row r="12" spans="1:1" x14ac:dyDescent="0.45">
      <c r="A12" s="275"/>
    </row>
    <row r="13" spans="1:1" x14ac:dyDescent="0.45">
      <c r="A13" s="275" t="s">
        <v>278</v>
      </c>
    </row>
    <row r="14" spans="1:1" x14ac:dyDescent="0.45">
      <c r="A14" s="296" t="s">
        <v>279</v>
      </c>
    </row>
    <row r="15" spans="1:1" x14ac:dyDescent="0.45">
      <c r="A15" s="296" t="s">
        <v>282</v>
      </c>
    </row>
    <row r="16" spans="1:1" x14ac:dyDescent="0.45">
      <c r="A16" s="296" t="s">
        <v>280</v>
      </c>
    </row>
    <row r="17" spans="1:1" x14ac:dyDescent="0.45">
      <c r="A17" s="304" t="s">
        <v>289</v>
      </c>
    </row>
    <row r="18" spans="1:1" x14ac:dyDescent="0.45">
      <c r="A18" s="296"/>
    </row>
    <row r="19" spans="1:1" x14ac:dyDescent="0.45">
      <c r="A19" s="275" t="s">
        <v>263</v>
      </c>
    </row>
    <row r="20" spans="1:1" x14ac:dyDescent="0.45">
      <c r="A20" s="275"/>
    </row>
    <row r="21" spans="1:1" x14ac:dyDescent="0.45">
      <c r="A21" s="275"/>
    </row>
    <row r="22" spans="1:1" x14ac:dyDescent="0.45">
      <c r="A22" s="275"/>
    </row>
  </sheetData>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F102DC-79D5-4CD4-8903-35D8E3973002}">
  <sheetPr>
    <tabColor rgb="FF00B050"/>
  </sheetPr>
  <dimension ref="A1:BG273"/>
  <sheetViews>
    <sheetView zoomScale="90" zoomScaleNormal="90" workbookViewId="0">
      <pane xSplit="8" ySplit="4" topLeftCell="V5" activePane="bottomRight" state="frozen"/>
      <selection pane="topRight" activeCell="I1" sqref="I1"/>
      <selection pane="bottomLeft" activeCell="A5" sqref="A5"/>
      <selection pane="bottomRight" activeCell="A5" sqref="A5"/>
    </sheetView>
  </sheetViews>
  <sheetFormatPr defaultRowHeight="14.5" x14ac:dyDescent="0.35"/>
  <cols>
    <col min="1" max="1" width="15.54296875" style="15" customWidth="1"/>
    <col min="2" max="2" width="14.453125" style="16" customWidth="1"/>
    <col min="3" max="3" width="10.453125" style="17" customWidth="1"/>
    <col min="4" max="4" width="13.453125" style="194" hidden="1" customWidth="1"/>
    <col min="5" max="5" width="14.54296875" style="194" hidden="1" customWidth="1"/>
    <col min="6" max="6" width="14.453125" style="194" hidden="1" customWidth="1"/>
    <col min="7" max="7" width="24.54296875" style="193" hidden="1" customWidth="1"/>
    <col min="8" max="8" width="28.54296875" style="193" hidden="1" customWidth="1"/>
    <col min="9" max="15" width="19.54296875" style="35" customWidth="1"/>
    <col min="16" max="16" width="23" style="35" customWidth="1"/>
    <col min="17" max="17" width="23.81640625" style="38" customWidth="1"/>
    <col min="18" max="21" width="19.54296875" style="35" customWidth="1"/>
    <col min="22" max="22" width="19.54296875" customWidth="1"/>
    <col min="23" max="24" width="19" style="29" customWidth="1"/>
    <col min="25" max="25" width="18.90625" style="29" customWidth="1"/>
    <col min="26" max="26" width="16" style="29" customWidth="1"/>
    <col min="27" max="27" width="25" style="29" customWidth="1"/>
    <col min="28" max="28" width="21.1796875" style="48" customWidth="1"/>
    <col min="29" max="29" width="18.54296875" customWidth="1"/>
    <col min="30" max="59" width="8.81640625" style="11"/>
  </cols>
  <sheetData>
    <row r="1" spans="1:29" ht="30.65" customHeight="1" x14ac:dyDescent="0.35">
      <c r="G1" s="195"/>
      <c r="H1" s="182"/>
      <c r="I1" s="311" t="s">
        <v>6</v>
      </c>
      <c r="J1" s="311"/>
      <c r="K1" s="311"/>
      <c r="L1" s="311"/>
      <c r="M1" s="312" t="s">
        <v>6</v>
      </c>
      <c r="N1" s="312"/>
      <c r="O1" s="312"/>
      <c r="P1" s="312"/>
      <c r="Q1" s="155" t="s">
        <v>7</v>
      </c>
      <c r="R1" s="314" t="s">
        <v>6</v>
      </c>
      <c r="S1" s="314"/>
      <c r="T1" s="314"/>
      <c r="U1" s="314"/>
      <c r="V1" s="314"/>
      <c r="W1" s="313" t="s">
        <v>240</v>
      </c>
      <c r="X1" s="313"/>
      <c r="Y1" s="313"/>
      <c r="Z1" s="313"/>
      <c r="AA1" s="310" t="s">
        <v>8</v>
      </c>
      <c r="AB1" s="310"/>
      <c r="AC1" s="310"/>
    </row>
    <row r="2" spans="1:29" ht="72.5" x14ac:dyDescent="0.35">
      <c r="A2" s="50" t="s">
        <v>255</v>
      </c>
      <c r="B2" s="51" t="s">
        <v>9</v>
      </c>
      <c r="C2" s="51" t="s">
        <v>10</v>
      </c>
      <c r="D2" s="196"/>
      <c r="E2" s="196"/>
      <c r="F2" s="196"/>
      <c r="G2" s="197"/>
      <c r="H2" s="183"/>
      <c r="I2" s="135" t="s">
        <v>246</v>
      </c>
      <c r="J2" s="135" t="s">
        <v>244</v>
      </c>
      <c r="K2" s="135" t="s">
        <v>243</v>
      </c>
      <c r="L2" s="135" t="s">
        <v>247</v>
      </c>
      <c r="M2" s="135" t="s">
        <v>248</v>
      </c>
      <c r="N2" s="135" t="s">
        <v>245</v>
      </c>
      <c r="O2" s="135" t="s">
        <v>249</v>
      </c>
      <c r="P2" s="135" t="s">
        <v>11</v>
      </c>
      <c r="Q2" s="156" t="s">
        <v>236</v>
      </c>
      <c r="R2" s="134" t="s">
        <v>237</v>
      </c>
      <c r="S2" s="134" t="s">
        <v>238</v>
      </c>
      <c r="T2" s="134" t="s">
        <v>250</v>
      </c>
      <c r="U2" s="134" t="s">
        <v>251</v>
      </c>
      <c r="V2" s="135" t="s">
        <v>239</v>
      </c>
      <c r="W2" s="136" t="s">
        <v>252</v>
      </c>
      <c r="X2" s="136" t="s">
        <v>12</v>
      </c>
      <c r="Y2" s="137" t="s">
        <v>13</v>
      </c>
      <c r="Z2" s="137" t="s">
        <v>14</v>
      </c>
      <c r="AA2" s="137" t="s">
        <v>15</v>
      </c>
      <c r="AB2" s="138" t="s">
        <v>253</v>
      </c>
      <c r="AC2" s="135" t="s">
        <v>16</v>
      </c>
    </row>
    <row r="3" spans="1:29" x14ac:dyDescent="0.35">
      <c r="A3" s="133" t="s">
        <v>256</v>
      </c>
      <c r="B3" s="133" t="s">
        <v>257</v>
      </c>
      <c r="C3" s="133" t="s">
        <v>17</v>
      </c>
      <c r="D3" s="184"/>
      <c r="E3" s="184"/>
      <c r="F3" s="184"/>
      <c r="G3" s="184"/>
      <c r="H3" s="184"/>
      <c r="I3" s="133" t="s">
        <v>18</v>
      </c>
      <c r="J3" s="133" t="s">
        <v>19</v>
      </c>
      <c r="K3" s="133" t="s">
        <v>20</v>
      </c>
      <c r="L3" s="133" t="s">
        <v>21</v>
      </c>
      <c r="M3" s="133" t="s">
        <v>22</v>
      </c>
      <c r="N3" s="133" t="s">
        <v>23</v>
      </c>
      <c r="O3" s="133" t="s">
        <v>24</v>
      </c>
      <c r="P3" s="133" t="s">
        <v>25</v>
      </c>
      <c r="Q3" s="133" t="s">
        <v>26</v>
      </c>
      <c r="R3" s="133" t="s">
        <v>27</v>
      </c>
      <c r="S3" s="133" t="s">
        <v>28</v>
      </c>
      <c r="T3" s="133" t="s">
        <v>29</v>
      </c>
      <c r="U3" s="133" t="s">
        <v>30</v>
      </c>
      <c r="V3" s="133" t="s">
        <v>31</v>
      </c>
      <c r="W3" s="133" t="s">
        <v>32</v>
      </c>
      <c r="X3" s="133" t="s">
        <v>33</v>
      </c>
      <c r="Y3" s="133" t="s">
        <v>34</v>
      </c>
      <c r="Z3" s="133" t="s">
        <v>35</v>
      </c>
      <c r="AA3" s="133" t="s">
        <v>36</v>
      </c>
      <c r="AB3" s="133" t="s">
        <v>37</v>
      </c>
      <c r="AC3" s="133" t="s">
        <v>38</v>
      </c>
    </row>
    <row r="4" spans="1:29" x14ac:dyDescent="0.35">
      <c r="A4" s="19"/>
      <c r="B4" s="20">
        <v>1</v>
      </c>
      <c r="C4" s="21" t="s">
        <v>39</v>
      </c>
      <c r="D4" s="185"/>
      <c r="E4" s="185"/>
      <c r="F4" s="185"/>
      <c r="G4" s="185"/>
      <c r="H4" s="185"/>
      <c r="I4" s="20">
        <v>8</v>
      </c>
      <c r="J4" s="20">
        <v>9</v>
      </c>
      <c r="K4" s="20">
        <v>10</v>
      </c>
      <c r="L4" s="20">
        <v>11</v>
      </c>
      <c r="M4" s="20">
        <v>12</v>
      </c>
      <c r="N4" s="20">
        <v>13</v>
      </c>
      <c r="O4" s="20">
        <v>14</v>
      </c>
      <c r="P4" s="20">
        <v>15</v>
      </c>
      <c r="Q4" s="20">
        <v>16</v>
      </c>
      <c r="R4" s="20">
        <v>17</v>
      </c>
      <c r="S4" s="20">
        <v>18</v>
      </c>
      <c r="T4" s="20">
        <v>19</v>
      </c>
      <c r="U4" s="20">
        <v>20</v>
      </c>
      <c r="V4" s="20">
        <v>21</v>
      </c>
      <c r="W4" s="20">
        <v>22</v>
      </c>
      <c r="X4" s="20">
        <v>23</v>
      </c>
      <c r="Y4" s="20">
        <v>24</v>
      </c>
      <c r="Z4" s="20">
        <v>25</v>
      </c>
      <c r="AA4" s="20">
        <v>26</v>
      </c>
      <c r="AB4" s="20">
        <v>27</v>
      </c>
      <c r="AC4" s="20">
        <v>28</v>
      </c>
    </row>
    <row r="5" spans="1:29" x14ac:dyDescent="0.35">
      <c r="A5" s="18">
        <v>0</v>
      </c>
      <c r="B5" s="22">
        <v>60001</v>
      </c>
      <c r="C5" s="23" t="s">
        <v>40</v>
      </c>
      <c r="D5" s="198"/>
      <c r="E5" s="198"/>
      <c r="F5" s="199"/>
      <c r="G5" s="200"/>
      <c r="H5" s="186"/>
      <c r="I5" s="25">
        <f>IF(J5&lt;=1,' FY 2022 CN Tables 1A-1E '!$C$5,' FY 2022 CN Tables 1A-1E '!$B$5)</f>
        <v>3795.42</v>
      </c>
      <c r="J5" s="26">
        <v>0.99009999999999998</v>
      </c>
      <c r="K5" s="25">
        <f>IF(J5&lt;=1,' FY 2022 CN Tables 1A-1E '!$C$6,' FY 2022 CN Tables 1A-1E '!$B$6)</f>
        <v>2326.23</v>
      </c>
      <c r="L5" s="25">
        <f t="shared" ref="L5:L68" si="0">IFERROR((I5*J5)+K5," ")</f>
        <v>6084.0753420000001</v>
      </c>
      <c r="M5" s="27">
        <f>' FY 2022 CN Tables 1A-1E '!$B$33</f>
        <v>472.59</v>
      </c>
      <c r="N5" s="24">
        <v>0.99319999999999997</v>
      </c>
      <c r="O5" s="25">
        <f t="shared" ref="O5:O68" si="1">IFERROR(M5*N5," ")</f>
        <v>469.37638799999996</v>
      </c>
      <c r="P5" s="28">
        <f t="shared" ref="P5:P68" si="2">L5+O5</f>
        <v>6553.4517299999998</v>
      </c>
      <c r="Q5" s="39">
        <v>78.33212097636877</v>
      </c>
      <c r="R5" s="36">
        <v>7.6550000000000007E-2</v>
      </c>
      <c r="S5" s="36">
        <v>7.7890000000000001E-2</v>
      </c>
      <c r="T5" s="25">
        <f>IFERROR((L5*R5),0)</f>
        <v>465.73596743010006</v>
      </c>
      <c r="U5" s="25">
        <f t="shared" ref="U5:U36" si="3">IFERROR(O5*S5,0)</f>
        <v>36.559726861319994</v>
      </c>
      <c r="V5" s="42">
        <f>T5+U5</f>
        <v>502.29569429142003</v>
      </c>
      <c r="W5" s="36">
        <v>1.00037</v>
      </c>
      <c r="X5" s="43">
        <f t="shared" ref="X5:X36" si="4">IF(W5=0,0,IF(W5&lt;1,(-L5*(1-W5)),(L5*W5-L5)))</f>
        <v>2.251107876540118</v>
      </c>
      <c r="Y5" s="36">
        <v>0.99929999999999997</v>
      </c>
      <c r="Z5" s="43">
        <f t="shared" ref="Z5:Z36" si="5">IF(Y5&lt;&gt;0,(L5-Y5*L5)*-1,0)</f>
        <v>-4.2588527394000266</v>
      </c>
      <c r="AA5" s="18" t="s">
        <v>41</v>
      </c>
      <c r="AB5" s="49">
        <f t="shared" ref="AB5:AB68" si="6">IF(AA5="Yes",-0.01,0)</f>
        <v>0</v>
      </c>
      <c r="AC5" s="162">
        <f t="shared" ref="AC5:AC36" si="7">P5*AB5</f>
        <v>0</v>
      </c>
    </row>
    <row r="6" spans="1:29" x14ac:dyDescent="0.35">
      <c r="A6" s="18">
        <v>0</v>
      </c>
      <c r="B6" s="22">
        <v>60003</v>
      </c>
      <c r="C6" s="23" t="s">
        <v>42</v>
      </c>
      <c r="D6" s="198"/>
      <c r="E6" s="198"/>
      <c r="F6" s="199"/>
      <c r="G6" s="200"/>
      <c r="H6" s="187"/>
      <c r="I6" s="25">
        <f>IF(J6&lt;=1,' FY 2022 CN Tables 1A-1E '!$C$5,' FY 2022 CN Tables 1A-1E '!$B$5)</f>
        <v>4138.24</v>
      </c>
      <c r="J6" s="26">
        <v>1.0257000000000001</v>
      </c>
      <c r="K6" s="25">
        <f>IF(J6&lt;=1,' FY 2022 CN Tables 1A-1E '!$C$6,' FY 2022 CN Tables 1A-1E '!$B$6)</f>
        <v>1983.41</v>
      </c>
      <c r="L6" s="25">
        <f t="shared" si="0"/>
        <v>6228.0027680000003</v>
      </c>
      <c r="M6" s="27">
        <f>' FY 2022 CN Tables 1A-1E '!$B$33</f>
        <v>472.59</v>
      </c>
      <c r="N6" s="24">
        <v>1.0175000000000001</v>
      </c>
      <c r="O6" s="25">
        <f t="shared" si="1"/>
        <v>480.86032499999999</v>
      </c>
      <c r="P6" s="28">
        <f t="shared" si="2"/>
        <v>6708.8630929999999</v>
      </c>
      <c r="Q6" s="39">
        <v>0</v>
      </c>
      <c r="R6" s="36">
        <v>0</v>
      </c>
      <c r="S6" s="36">
        <v>0</v>
      </c>
      <c r="T6" s="25">
        <f t="shared" ref="T6:T36" si="8">IFERROR((L6*R6),0)</f>
        <v>0</v>
      </c>
      <c r="U6" s="25">
        <f t="shared" si="3"/>
        <v>0</v>
      </c>
      <c r="V6" s="42">
        <f t="shared" ref="V6:V69" si="9">T6+U6</f>
        <v>0</v>
      </c>
      <c r="W6" s="36">
        <v>0.99619999999999997</v>
      </c>
      <c r="X6" s="43">
        <f t="shared" si="4"/>
        <v>-23.666410518400159</v>
      </c>
      <c r="Y6" s="36">
        <v>0.98419999999999996</v>
      </c>
      <c r="Z6" s="43">
        <f t="shared" si="5"/>
        <v>-98.402443734400549</v>
      </c>
      <c r="AA6" s="18" t="s">
        <v>43</v>
      </c>
      <c r="AB6" s="44">
        <f t="shared" si="6"/>
        <v>-0.01</v>
      </c>
      <c r="AC6" s="162">
        <f t="shared" si="7"/>
        <v>-67.088630929999994</v>
      </c>
    </row>
    <row r="7" spans="1:29" x14ac:dyDescent="0.35">
      <c r="A7" s="18">
        <v>0</v>
      </c>
      <c r="B7" s="22">
        <v>60004</v>
      </c>
      <c r="C7" s="23" t="s">
        <v>44</v>
      </c>
      <c r="D7" s="198"/>
      <c r="E7" s="198"/>
      <c r="F7" s="199"/>
      <c r="G7" s="200"/>
      <c r="H7" s="187"/>
      <c r="I7" s="25">
        <f>IF(J7&lt;=1,' FY 2022 CN Tables 1A-1E '!$C$5,' FY 2022 CN Tables 1A-1E '!$B$5)</f>
        <v>3795.42</v>
      </c>
      <c r="J7" s="26">
        <v>0.98240000000000005</v>
      </c>
      <c r="K7" s="25">
        <f>IF(J7&lt;=1,' FY 2022 CN Tables 1A-1E '!$C$6,' FY 2022 CN Tables 1A-1E '!$B$6)</f>
        <v>2326.23</v>
      </c>
      <c r="L7" s="25">
        <f t="shared" si="0"/>
        <v>6054.8506080000006</v>
      </c>
      <c r="M7" s="27">
        <f>' FY 2022 CN Tables 1A-1E '!$B$33</f>
        <v>472.59</v>
      </c>
      <c r="N7" s="24">
        <v>0.9879</v>
      </c>
      <c r="O7" s="25">
        <f t="shared" si="1"/>
        <v>466.87166099999996</v>
      </c>
      <c r="P7" s="28">
        <f t="shared" si="2"/>
        <v>6521.7222690000008</v>
      </c>
      <c r="Q7" s="39">
        <v>0</v>
      </c>
      <c r="R7" s="36">
        <v>0</v>
      </c>
      <c r="S7" s="36">
        <v>0</v>
      </c>
      <c r="T7" s="25">
        <f t="shared" si="8"/>
        <v>0</v>
      </c>
      <c r="U7" s="25">
        <f t="shared" si="3"/>
        <v>0</v>
      </c>
      <c r="V7" s="42">
        <f t="shared" si="9"/>
        <v>0</v>
      </c>
      <c r="W7" s="36">
        <v>1.0156099999999999</v>
      </c>
      <c r="X7" s="43">
        <f t="shared" si="4"/>
        <v>94.516217990879341</v>
      </c>
      <c r="Y7" s="36">
        <v>0.99250000000000005</v>
      </c>
      <c r="Z7" s="43">
        <f t="shared" si="5"/>
        <v>-45.411379559999659</v>
      </c>
      <c r="AA7" s="18" t="s">
        <v>41</v>
      </c>
      <c r="AB7" s="44">
        <f t="shared" si="6"/>
        <v>0</v>
      </c>
      <c r="AC7" s="162">
        <f t="shared" si="7"/>
        <v>0</v>
      </c>
    </row>
    <row r="8" spans="1:29" x14ac:dyDescent="0.35">
      <c r="A8" s="18">
        <v>0</v>
      </c>
      <c r="B8" s="22">
        <v>60006</v>
      </c>
      <c r="C8" s="23" t="s">
        <v>45</v>
      </c>
      <c r="D8" s="198"/>
      <c r="E8" s="198"/>
      <c r="F8" s="199"/>
      <c r="G8" s="200"/>
      <c r="H8" s="187"/>
      <c r="I8" s="25">
        <f>IF(J8&lt;=1,' FY 2022 CN Tables 1A-1E '!$C$5,' FY 2022 CN Tables 1A-1E '!$B$5)</f>
        <v>3795.42</v>
      </c>
      <c r="J8" s="26">
        <v>0.98240000000000005</v>
      </c>
      <c r="K8" s="25">
        <f>IF(J8&lt;=1,' FY 2022 CN Tables 1A-1E '!$C$6,' FY 2022 CN Tables 1A-1E '!$B$6)</f>
        <v>2326.23</v>
      </c>
      <c r="L8" s="25">
        <f t="shared" si="0"/>
        <v>6054.8506080000006</v>
      </c>
      <c r="M8" s="27">
        <f>' FY 2022 CN Tables 1A-1E '!$B$33</f>
        <v>472.59</v>
      </c>
      <c r="N8" s="24">
        <v>0.9879</v>
      </c>
      <c r="O8" s="25">
        <f t="shared" si="1"/>
        <v>466.87166099999996</v>
      </c>
      <c r="P8" s="28">
        <f t="shared" si="2"/>
        <v>6521.7222690000008</v>
      </c>
      <c r="Q8" s="39">
        <v>0</v>
      </c>
      <c r="R8" s="36">
        <v>0</v>
      </c>
      <c r="S8" s="36">
        <v>0</v>
      </c>
      <c r="T8" s="25">
        <f t="shared" si="8"/>
        <v>0</v>
      </c>
      <c r="U8" s="25">
        <f t="shared" si="3"/>
        <v>0</v>
      </c>
      <c r="V8" s="42">
        <f t="shared" si="9"/>
        <v>0</v>
      </c>
      <c r="W8" s="36">
        <v>1.0169999999999999</v>
      </c>
      <c r="X8" s="43">
        <f t="shared" si="4"/>
        <v>102.93246033599917</v>
      </c>
      <c r="Y8" s="36">
        <v>0.99990000000000001</v>
      </c>
      <c r="Z8" s="43">
        <f t="shared" si="5"/>
        <v>-0.60548506079976505</v>
      </c>
      <c r="AA8" s="18" t="s">
        <v>43</v>
      </c>
      <c r="AB8" s="44">
        <f t="shared" si="6"/>
        <v>-0.01</v>
      </c>
      <c r="AC8" s="162">
        <f t="shared" si="7"/>
        <v>-65.217222690000014</v>
      </c>
    </row>
    <row r="9" spans="1:29" x14ac:dyDescent="0.35">
      <c r="A9" s="18">
        <v>0</v>
      </c>
      <c r="B9" s="22">
        <v>60008</v>
      </c>
      <c r="C9" s="23" t="s">
        <v>46</v>
      </c>
      <c r="D9" s="201"/>
      <c r="E9" s="202"/>
      <c r="F9" s="199"/>
      <c r="G9" s="200"/>
      <c r="H9" s="187"/>
      <c r="I9" s="25">
        <f>IF(J9&lt;=1,' FY 2022 CN Tables 1A-1E '!$C$5,' FY 2022 CN Tables 1A-1E '!$B$5)</f>
        <v>3795.42</v>
      </c>
      <c r="J9" s="26">
        <v>0.98240000000000005</v>
      </c>
      <c r="K9" s="25">
        <f>IF(J9&lt;=1,' FY 2022 CN Tables 1A-1E '!$C$6,' FY 2022 CN Tables 1A-1E '!$B$6)</f>
        <v>2326.23</v>
      </c>
      <c r="L9" s="25">
        <f t="shared" si="0"/>
        <v>6054.8506080000006</v>
      </c>
      <c r="M9" s="27">
        <f>' FY 2022 CN Tables 1A-1E '!$B$33</f>
        <v>472.59</v>
      </c>
      <c r="N9" s="24">
        <v>0.9879</v>
      </c>
      <c r="O9" s="25">
        <f t="shared" si="1"/>
        <v>466.87166099999996</v>
      </c>
      <c r="P9" s="28">
        <f t="shared" si="2"/>
        <v>6521.7222690000008</v>
      </c>
      <c r="Q9" s="39">
        <v>0</v>
      </c>
      <c r="R9" s="36">
        <v>0</v>
      </c>
      <c r="S9" s="36">
        <v>0</v>
      </c>
      <c r="T9" s="25">
        <f t="shared" si="8"/>
        <v>0</v>
      </c>
      <c r="U9" s="25">
        <f t="shared" si="3"/>
        <v>0</v>
      </c>
      <c r="V9" s="42">
        <f t="shared" si="9"/>
        <v>0</v>
      </c>
      <c r="W9" s="36">
        <v>0.99668000000000001</v>
      </c>
      <c r="X9" s="43">
        <f t="shared" si="4"/>
        <v>-20.102104018559938</v>
      </c>
      <c r="Y9" s="36">
        <v>0.99170000000000003</v>
      </c>
      <c r="Z9" s="43">
        <f t="shared" si="5"/>
        <v>-50.255260046399599</v>
      </c>
      <c r="AA9" s="18" t="s">
        <v>43</v>
      </c>
      <c r="AB9" s="44">
        <f t="shared" si="6"/>
        <v>-0.01</v>
      </c>
      <c r="AC9" s="162">
        <f t="shared" si="7"/>
        <v>-65.217222690000014</v>
      </c>
    </row>
    <row r="10" spans="1:29" x14ac:dyDescent="0.35">
      <c r="A10" s="18">
        <v>0</v>
      </c>
      <c r="B10" s="22">
        <v>60009</v>
      </c>
      <c r="C10" s="23" t="s">
        <v>47</v>
      </c>
      <c r="D10" s="198"/>
      <c r="E10" s="198"/>
      <c r="F10" s="199"/>
      <c r="G10" s="200"/>
      <c r="H10" s="187"/>
      <c r="I10" s="25">
        <f>IF(J10&lt;=1,' FY 2022 CN Tables 1A-1E '!$C$5,' FY 2022 CN Tables 1A-1E '!$B$5)</f>
        <v>3795.42</v>
      </c>
      <c r="J10" s="26">
        <v>0.98240000000000005</v>
      </c>
      <c r="K10" s="25">
        <f>IF(J10&lt;=1,' FY 2022 CN Tables 1A-1E '!$C$6,' FY 2022 CN Tables 1A-1E '!$B$6)</f>
        <v>2326.23</v>
      </c>
      <c r="L10" s="25">
        <f t="shared" si="0"/>
        <v>6054.8506080000006</v>
      </c>
      <c r="M10" s="27">
        <f>' FY 2022 CN Tables 1A-1E '!$B$33</f>
        <v>472.59</v>
      </c>
      <c r="N10" s="24">
        <v>0.9879</v>
      </c>
      <c r="O10" s="25">
        <f t="shared" si="1"/>
        <v>466.87166099999996</v>
      </c>
      <c r="P10" s="28">
        <f t="shared" si="2"/>
        <v>6521.7222690000008</v>
      </c>
      <c r="Q10" s="39">
        <v>0</v>
      </c>
      <c r="R10" s="36">
        <v>0</v>
      </c>
      <c r="S10" s="36">
        <v>0</v>
      </c>
      <c r="T10" s="25">
        <f t="shared" si="8"/>
        <v>0</v>
      </c>
      <c r="U10" s="25">
        <f t="shared" si="3"/>
        <v>0</v>
      </c>
      <c r="V10" s="42">
        <f t="shared" si="9"/>
        <v>0</v>
      </c>
      <c r="W10" s="36">
        <v>0.99587999999999999</v>
      </c>
      <c r="X10" s="43">
        <f t="shared" si="4"/>
        <v>-24.94598450496008</v>
      </c>
      <c r="Y10" s="36">
        <v>0.99970000000000003</v>
      </c>
      <c r="Z10" s="43">
        <f t="shared" si="5"/>
        <v>-1.8164551824002046</v>
      </c>
      <c r="AA10" s="18" t="s">
        <v>41</v>
      </c>
      <c r="AB10" s="44">
        <f t="shared" si="6"/>
        <v>0</v>
      </c>
      <c r="AC10" s="162">
        <f t="shared" si="7"/>
        <v>0</v>
      </c>
    </row>
    <row r="11" spans="1:29" x14ac:dyDescent="0.35">
      <c r="A11" s="18">
        <v>0</v>
      </c>
      <c r="B11" s="22">
        <v>60010</v>
      </c>
      <c r="C11" s="23" t="s">
        <v>48</v>
      </c>
      <c r="D11" s="198"/>
      <c r="E11" s="198"/>
      <c r="F11" s="199"/>
      <c r="G11" s="200"/>
      <c r="H11" s="187"/>
      <c r="I11" s="25">
        <f>IF(J11&lt;=1,' FY 2022 CN Tables 1A-1E '!$C$5,' FY 2022 CN Tables 1A-1E '!$B$5)</f>
        <v>3795.42</v>
      </c>
      <c r="J11" s="26">
        <v>0.98240000000000005</v>
      </c>
      <c r="K11" s="25">
        <f>IF(J11&lt;=1,' FY 2022 CN Tables 1A-1E '!$C$6,' FY 2022 CN Tables 1A-1E '!$B$6)</f>
        <v>2326.23</v>
      </c>
      <c r="L11" s="25">
        <f t="shared" si="0"/>
        <v>6054.8506080000006</v>
      </c>
      <c r="M11" s="27">
        <f>' FY 2022 CN Tables 1A-1E '!$B$33</f>
        <v>472.59</v>
      </c>
      <c r="N11" s="24">
        <v>0.9879</v>
      </c>
      <c r="O11" s="25">
        <f t="shared" si="1"/>
        <v>466.87166099999996</v>
      </c>
      <c r="P11" s="28">
        <f t="shared" si="2"/>
        <v>6521.7222690000008</v>
      </c>
      <c r="Q11" s="39">
        <v>41.008915137174696</v>
      </c>
      <c r="R11" s="36">
        <v>3.8710000000000001E-2</v>
      </c>
      <c r="S11" s="36">
        <v>3.5819999999999998E-2</v>
      </c>
      <c r="T11" s="25">
        <f t="shared" si="8"/>
        <v>234.38326703568003</v>
      </c>
      <c r="U11" s="25">
        <f t="shared" si="3"/>
        <v>16.723342897019997</v>
      </c>
      <c r="V11" s="42">
        <f t="shared" si="9"/>
        <v>251.10660993270002</v>
      </c>
      <c r="W11" s="36">
        <v>1.0085500000000001</v>
      </c>
      <c r="X11" s="43">
        <f t="shared" si="4"/>
        <v>51.768972698399921</v>
      </c>
      <c r="Y11" s="36">
        <v>0.99890000000000001</v>
      </c>
      <c r="Z11" s="43">
        <f t="shared" si="5"/>
        <v>-6.660335668800144</v>
      </c>
      <c r="AA11" s="18" t="s">
        <v>41</v>
      </c>
      <c r="AB11" s="44">
        <f t="shared" si="6"/>
        <v>0</v>
      </c>
      <c r="AC11" s="162">
        <f t="shared" si="7"/>
        <v>0</v>
      </c>
    </row>
    <row r="12" spans="1:29" x14ac:dyDescent="0.35">
      <c r="A12" s="18">
        <v>0</v>
      </c>
      <c r="B12" s="22">
        <v>60011</v>
      </c>
      <c r="C12" s="23" t="s">
        <v>49</v>
      </c>
      <c r="D12" s="198"/>
      <c r="E12" s="198"/>
      <c r="F12" s="199"/>
      <c r="G12" s="200"/>
      <c r="H12" s="187"/>
      <c r="I12" s="25">
        <f>IF(J12&lt;=1,' FY 2022 CN Tables 1A-1E '!$C$5,' FY 2022 CN Tables 1A-1E '!$B$5)</f>
        <v>3795.42</v>
      </c>
      <c r="J12" s="26">
        <v>0.98240000000000005</v>
      </c>
      <c r="K12" s="25">
        <f>IF(J12&lt;=1,' FY 2022 CN Tables 1A-1E '!$C$6,' FY 2022 CN Tables 1A-1E '!$B$6)</f>
        <v>2326.23</v>
      </c>
      <c r="L12" s="25">
        <f t="shared" si="0"/>
        <v>6054.8506080000006</v>
      </c>
      <c r="M12" s="27">
        <f>' FY 2022 CN Tables 1A-1E '!$B$33</f>
        <v>472.59</v>
      </c>
      <c r="N12" s="24">
        <v>0.9879</v>
      </c>
      <c r="O12" s="25">
        <f t="shared" si="1"/>
        <v>466.87166099999996</v>
      </c>
      <c r="P12" s="28">
        <f t="shared" si="2"/>
        <v>6521.7222690000008</v>
      </c>
      <c r="Q12" s="39">
        <v>0</v>
      </c>
      <c r="R12" s="36">
        <v>0.20227000000000001</v>
      </c>
      <c r="S12" s="36">
        <v>0.18654000000000001</v>
      </c>
      <c r="T12" s="25">
        <f t="shared" si="8"/>
        <v>1224.7146324801602</v>
      </c>
      <c r="U12" s="25">
        <f t="shared" si="3"/>
        <v>87.090239642939991</v>
      </c>
      <c r="V12" s="42">
        <f t="shared" si="9"/>
        <v>1311.8048721231003</v>
      </c>
      <c r="W12" s="36">
        <v>1.00478</v>
      </c>
      <c r="X12" s="43">
        <f t="shared" si="4"/>
        <v>28.942185906240411</v>
      </c>
      <c r="Y12" s="36">
        <v>0.99890000000000001</v>
      </c>
      <c r="Z12" s="43">
        <f t="shared" si="5"/>
        <v>-6.660335668800144</v>
      </c>
      <c r="AA12" s="18" t="s">
        <v>41</v>
      </c>
      <c r="AB12" s="44">
        <f t="shared" si="6"/>
        <v>0</v>
      </c>
      <c r="AC12" s="162">
        <f t="shared" si="7"/>
        <v>0</v>
      </c>
    </row>
    <row r="13" spans="1:29" x14ac:dyDescent="0.35">
      <c r="A13" s="18">
        <v>0</v>
      </c>
      <c r="B13" s="22">
        <v>60012</v>
      </c>
      <c r="C13" s="23" t="s">
        <v>50</v>
      </c>
      <c r="D13" s="198"/>
      <c r="E13" s="198"/>
      <c r="F13" s="199"/>
      <c r="G13" s="200"/>
      <c r="H13" s="187"/>
      <c r="I13" s="25">
        <f>IF(J13&lt;=1,' FY 2022 CN Tables 1A-1E '!$C$5,' FY 2022 CN Tables 1A-1E '!$B$5)</f>
        <v>3795.42</v>
      </c>
      <c r="J13" s="26">
        <v>0.98240000000000005</v>
      </c>
      <c r="K13" s="25">
        <f>IF(J13&lt;=1,' FY 2022 CN Tables 1A-1E '!$C$6,' FY 2022 CN Tables 1A-1E '!$B$6)</f>
        <v>2326.23</v>
      </c>
      <c r="L13" s="25">
        <f t="shared" si="0"/>
        <v>6054.8506080000006</v>
      </c>
      <c r="M13" s="27">
        <f>' FY 2022 CN Tables 1A-1E '!$B$33</f>
        <v>472.59</v>
      </c>
      <c r="N13" s="24">
        <v>0.9879</v>
      </c>
      <c r="O13" s="25">
        <f t="shared" si="1"/>
        <v>466.87166099999996</v>
      </c>
      <c r="P13" s="28">
        <f t="shared" si="2"/>
        <v>6521.7222690000008</v>
      </c>
      <c r="Q13" s="39">
        <v>69.920058534145625</v>
      </c>
      <c r="R13" s="36">
        <v>0.13261000000000001</v>
      </c>
      <c r="S13" s="36">
        <v>0.17879999999999999</v>
      </c>
      <c r="T13" s="25">
        <f t="shared" si="8"/>
        <v>802.93373912688014</v>
      </c>
      <c r="U13" s="25">
        <f t="shared" si="3"/>
        <v>83.476652986799991</v>
      </c>
      <c r="V13" s="42">
        <f t="shared" si="9"/>
        <v>886.41039211368013</v>
      </c>
      <c r="W13" s="36">
        <v>1.00678</v>
      </c>
      <c r="X13" s="43">
        <f t="shared" si="4"/>
        <v>41.051887122240259</v>
      </c>
      <c r="Y13" s="36">
        <v>0.99980000000000002</v>
      </c>
      <c r="Z13" s="43">
        <f t="shared" si="5"/>
        <v>-1.2109701215995301</v>
      </c>
      <c r="AA13" s="18" t="s">
        <v>41</v>
      </c>
      <c r="AB13" s="44">
        <f t="shared" si="6"/>
        <v>0</v>
      </c>
      <c r="AC13" s="162">
        <f t="shared" si="7"/>
        <v>0</v>
      </c>
    </row>
    <row r="14" spans="1:29" x14ac:dyDescent="0.35">
      <c r="A14" s="18">
        <v>0</v>
      </c>
      <c r="B14" s="22">
        <v>60013</v>
      </c>
      <c r="C14" s="23" t="s">
        <v>51</v>
      </c>
      <c r="D14" s="198"/>
      <c r="E14" s="198"/>
      <c r="F14" s="199"/>
      <c r="G14" s="200"/>
      <c r="H14" s="187"/>
      <c r="I14" s="25">
        <f>IF(J14&lt;=1,' FY 2022 CN Tables 1A-1E '!$C$5,' FY 2022 CN Tables 1A-1E '!$B$5)</f>
        <v>3795.42</v>
      </c>
      <c r="J14" s="26">
        <v>0.98240000000000005</v>
      </c>
      <c r="K14" s="25">
        <f>IF(J14&lt;=1,' FY 2022 CN Tables 1A-1E '!$C$6,' FY 2022 CN Tables 1A-1E '!$B$6)</f>
        <v>2326.23</v>
      </c>
      <c r="L14" s="25">
        <f t="shared" si="0"/>
        <v>6054.8506080000006</v>
      </c>
      <c r="M14" s="27">
        <f>' FY 2022 CN Tables 1A-1E '!$B$33</f>
        <v>472.59</v>
      </c>
      <c r="N14" s="24">
        <v>0.9879</v>
      </c>
      <c r="O14" s="25">
        <f t="shared" si="1"/>
        <v>466.87166099999996</v>
      </c>
      <c r="P14" s="28">
        <f t="shared" si="2"/>
        <v>6521.7222690000008</v>
      </c>
      <c r="Q14" s="39">
        <v>0</v>
      </c>
      <c r="R14" s="36">
        <v>0</v>
      </c>
      <c r="S14" s="36">
        <v>0</v>
      </c>
      <c r="T14" s="25">
        <f t="shared" si="8"/>
        <v>0</v>
      </c>
      <c r="U14" s="25">
        <f t="shared" si="3"/>
        <v>0</v>
      </c>
      <c r="V14" s="42">
        <f t="shared" si="9"/>
        <v>0</v>
      </c>
      <c r="W14" s="36">
        <v>1.01986</v>
      </c>
      <c r="X14" s="43">
        <f t="shared" si="4"/>
        <v>120.24933307488027</v>
      </c>
      <c r="Y14" s="36">
        <v>1</v>
      </c>
      <c r="Z14" s="43">
        <f t="shared" si="5"/>
        <v>0</v>
      </c>
      <c r="AA14" s="18" t="s">
        <v>41</v>
      </c>
      <c r="AB14" s="44">
        <f t="shared" si="6"/>
        <v>0</v>
      </c>
      <c r="AC14" s="162">
        <f t="shared" si="7"/>
        <v>0</v>
      </c>
    </row>
    <row r="15" spans="1:29" x14ac:dyDescent="0.35">
      <c r="A15" s="18">
        <v>0</v>
      </c>
      <c r="B15" s="22">
        <v>60014</v>
      </c>
      <c r="C15" s="23" t="s">
        <v>52</v>
      </c>
      <c r="D15" s="198"/>
      <c r="E15" s="198"/>
      <c r="F15" s="199"/>
      <c r="G15" s="200"/>
      <c r="H15" s="187"/>
      <c r="I15" s="25">
        <f>IF(J15&lt;=1,' FY 2022 CN Tables 1A-1E '!$C$5,' FY 2022 CN Tables 1A-1E '!$B$5)</f>
        <v>3795.42</v>
      </c>
      <c r="J15" s="26">
        <v>0.98240000000000005</v>
      </c>
      <c r="K15" s="25">
        <f>IF(J15&lt;=1,' FY 2022 CN Tables 1A-1E '!$C$6,' FY 2022 CN Tables 1A-1E '!$B$6)</f>
        <v>2326.23</v>
      </c>
      <c r="L15" s="25">
        <f t="shared" si="0"/>
        <v>6054.8506080000006</v>
      </c>
      <c r="M15" s="27">
        <f>' FY 2022 CN Tables 1A-1E '!$B$33</f>
        <v>472.59</v>
      </c>
      <c r="N15" s="24">
        <v>0.9879</v>
      </c>
      <c r="O15" s="25">
        <f t="shared" si="1"/>
        <v>466.87166099999996</v>
      </c>
      <c r="P15" s="28">
        <f t="shared" si="2"/>
        <v>6521.7222690000008</v>
      </c>
      <c r="Q15" s="39">
        <v>62.925104987160069</v>
      </c>
      <c r="R15" s="36">
        <v>5.4629999999999998E-2</v>
      </c>
      <c r="S15" s="36">
        <v>4.9000000000000002E-2</v>
      </c>
      <c r="T15" s="25">
        <f t="shared" si="8"/>
        <v>330.77648871504005</v>
      </c>
      <c r="U15" s="25">
        <f t="shared" si="3"/>
        <v>22.876711389</v>
      </c>
      <c r="V15" s="42">
        <f t="shared" si="9"/>
        <v>353.65320010404002</v>
      </c>
      <c r="W15" s="36">
        <v>1.0013300000000001</v>
      </c>
      <c r="X15" s="43">
        <f t="shared" si="4"/>
        <v>8.0529513086403313</v>
      </c>
      <c r="Y15" s="36">
        <v>0.99550000000000005</v>
      </c>
      <c r="Z15" s="43">
        <f t="shared" si="5"/>
        <v>-27.246827735999432</v>
      </c>
      <c r="AA15" s="18" t="s">
        <v>41</v>
      </c>
      <c r="AB15" s="44">
        <f t="shared" si="6"/>
        <v>0</v>
      </c>
      <c r="AC15" s="162">
        <f t="shared" si="7"/>
        <v>0</v>
      </c>
    </row>
    <row r="16" spans="1:29" x14ac:dyDescent="0.35">
      <c r="A16" s="18">
        <v>0</v>
      </c>
      <c r="B16" s="22">
        <v>60015</v>
      </c>
      <c r="C16" s="23" t="s">
        <v>53</v>
      </c>
      <c r="D16" s="198"/>
      <c r="E16" s="198"/>
      <c r="F16" s="199"/>
      <c r="G16" s="200"/>
      <c r="H16" s="187"/>
      <c r="I16" s="25">
        <f>IF(J16&lt;=1,' FY 2022 CN Tables 1A-1E '!$C$5,' FY 2022 CN Tables 1A-1E '!$B$5)</f>
        <v>3795.42</v>
      </c>
      <c r="J16" s="26">
        <v>0.98240000000000005</v>
      </c>
      <c r="K16" s="25">
        <f>IF(J16&lt;=1,' FY 2022 CN Tables 1A-1E '!$C$6,' FY 2022 CN Tables 1A-1E '!$B$6)</f>
        <v>2326.23</v>
      </c>
      <c r="L16" s="25">
        <f t="shared" si="0"/>
        <v>6054.8506080000006</v>
      </c>
      <c r="M16" s="27">
        <f>' FY 2022 CN Tables 1A-1E '!$B$33</f>
        <v>472.59</v>
      </c>
      <c r="N16" s="24">
        <v>0.9879</v>
      </c>
      <c r="O16" s="25">
        <f t="shared" si="1"/>
        <v>466.87166099999996</v>
      </c>
      <c r="P16" s="28">
        <f t="shared" si="2"/>
        <v>6521.7222690000008</v>
      </c>
      <c r="Q16" s="39">
        <v>2.7712214053276143</v>
      </c>
      <c r="R16" s="36">
        <v>2.215E-2</v>
      </c>
      <c r="S16" s="36">
        <v>1.521E-2</v>
      </c>
      <c r="T16" s="25">
        <f t="shared" si="8"/>
        <v>134.1149409672</v>
      </c>
      <c r="U16" s="25">
        <f t="shared" si="3"/>
        <v>7.1011179638099993</v>
      </c>
      <c r="V16" s="42">
        <f t="shared" si="9"/>
        <v>141.21605893101</v>
      </c>
      <c r="W16" s="36">
        <v>0.99780000000000002</v>
      </c>
      <c r="X16" s="43">
        <f t="shared" si="4"/>
        <v>-13.32067133759988</v>
      </c>
      <c r="Y16" s="36">
        <v>0.99919999999999998</v>
      </c>
      <c r="Z16" s="43">
        <f t="shared" si="5"/>
        <v>-4.8438804863999394</v>
      </c>
      <c r="AA16" s="18" t="s">
        <v>43</v>
      </c>
      <c r="AB16" s="44">
        <f t="shared" si="6"/>
        <v>-0.01</v>
      </c>
      <c r="AC16" s="162">
        <f t="shared" si="7"/>
        <v>-65.217222690000014</v>
      </c>
    </row>
    <row r="17" spans="1:29" x14ac:dyDescent="0.35">
      <c r="A17" s="18">
        <v>0</v>
      </c>
      <c r="B17" s="22">
        <v>60020</v>
      </c>
      <c r="C17" s="23" t="s">
        <v>54</v>
      </c>
      <c r="D17" s="198"/>
      <c r="E17" s="198"/>
      <c r="F17" s="199"/>
      <c r="G17" s="200"/>
      <c r="H17" s="187"/>
      <c r="I17" s="25">
        <f>IF(J17&lt;=1,' FY 2022 CN Tables 1A-1E '!$C$5,' FY 2022 CN Tables 1A-1E '!$B$5)</f>
        <v>3795.42</v>
      </c>
      <c r="J17" s="26">
        <v>0.98240000000000005</v>
      </c>
      <c r="K17" s="25">
        <f>IF(J17&lt;=1,' FY 2022 CN Tables 1A-1E '!$C$6,' FY 2022 CN Tables 1A-1E '!$B$6)</f>
        <v>2326.23</v>
      </c>
      <c r="L17" s="25">
        <f t="shared" si="0"/>
        <v>6054.8506080000006</v>
      </c>
      <c r="M17" s="27">
        <f>' FY 2022 CN Tables 1A-1E '!$B$33</f>
        <v>472.59</v>
      </c>
      <c r="N17" s="24">
        <v>0.9879</v>
      </c>
      <c r="O17" s="25">
        <f t="shared" si="1"/>
        <v>466.87166099999996</v>
      </c>
      <c r="P17" s="28">
        <f t="shared" si="2"/>
        <v>6521.7222690000008</v>
      </c>
      <c r="Q17" s="39">
        <v>39.416580808658239</v>
      </c>
      <c r="R17" s="36">
        <v>8.9429999999999996E-2</v>
      </c>
      <c r="S17" s="36">
        <v>6.3479999999999995E-2</v>
      </c>
      <c r="T17" s="25">
        <f t="shared" si="8"/>
        <v>541.48528987344002</v>
      </c>
      <c r="U17" s="25">
        <f t="shared" si="3"/>
        <v>29.637013040279996</v>
      </c>
      <c r="V17" s="42">
        <f t="shared" si="9"/>
        <v>571.12230291371998</v>
      </c>
      <c r="W17" s="36">
        <v>0.99346999999999996</v>
      </c>
      <c r="X17" s="43">
        <f t="shared" si="4"/>
        <v>-39.538174470240222</v>
      </c>
      <c r="Y17" s="36">
        <v>0.99850000000000005</v>
      </c>
      <c r="Z17" s="43">
        <f t="shared" si="5"/>
        <v>-9.0822759120001137</v>
      </c>
      <c r="AA17" s="18" t="s">
        <v>41</v>
      </c>
      <c r="AB17" s="44">
        <f t="shared" si="6"/>
        <v>0</v>
      </c>
      <c r="AC17" s="162">
        <f t="shared" si="7"/>
        <v>0</v>
      </c>
    </row>
    <row r="18" spans="1:29" x14ac:dyDescent="0.35">
      <c r="A18" s="18">
        <v>0</v>
      </c>
      <c r="B18" s="22">
        <v>60022</v>
      </c>
      <c r="C18" s="23" t="s">
        <v>55</v>
      </c>
      <c r="D18" s="198"/>
      <c r="E18" s="198"/>
      <c r="F18" s="199"/>
      <c r="G18" s="200"/>
      <c r="H18" s="187"/>
      <c r="I18" s="25">
        <f>IF(J18&lt;=1,' FY 2022 CN Tables 1A-1E '!$C$5,' FY 2022 CN Tables 1A-1E '!$B$5)</f>
        <v>3795.42</v>
      </c>
      <c r="J18" s="26">
        <v>0.98240000000000005</v>
      </c>
      <c r="K18" s="25">
        <f>IF(J18&lt;=1,' FY 2022 CN Tables 1A-1E '!$C$6,' FY 2022 CN Tables 1A-1E '!$B$6)</f>
        <v>2326.23</v>
      </c>
      <c r="L18" s="25">
        <f t="shared" si="0"/>
        <v>6054.8506080000006</v>
      </c>
      <c r="M18" s="27">
        <f>' FY 2022 CN Tables 1A-1E '!$B$33</f>
        <v>472.59</v>
      </c>
      <c r="N18" s="24">
        <v>0.9879</v>
      </c>
      <c r="O18" s="25">
        <f t="shared" si="1"/>
        <v>466.87166099999996</v>
      </c>
      <c r="P18" s="28">
        <f t="shared" si="2"/>
        <v>6521.7222690000008</v>
      </c>
      <c r="Q18" s="39">
        <v>0</v>
      </c>
      <c r="R18" s="36">
        <v>0</v>
      </c>
      <c r="S18" s="36">
        <v>0</v>
      </c>
      <c r="T18" s="25">
        <f t="shared" si="8"/>
        <v>0</v>
      </c>
      <c r="U18" s="25">
        <f t="shared" si="3"/>
        <v>0</v>
      </c>
      <c r="V18" s="42">
        <f t="shared" si="9"/>
        <v>0</v>
      </c>
      <c r="W18" s="36">
        <v>0.99507999999999996</v>
      </c>
      <c r="X18" s="43">
        <f t="shared" si="4"/>
        <v>-29.789864991360218</v>
      </c>
      <c r="Y18" s="36">
        <v>0.99919999999999998</v>
      </c>
      <c r="Z18" s="43">
        <f t="shared" si="5"/>
        <v>-4.8438804863999394</v>
      </c>
      <c r="AA18" s="18" t="s">
        <v>41</v>
      </c>
      <c r="AB18" s="44">
        <f t="shared" si="6"/>
        <v>0</v>
      </c>
      <c r="AC18" s="162">
        <f t="shared" si="7"/>
        <v>0</v>
      </c>
    </row>
    <row r="19" spans="1:29" x14ac:dyDescent="0.35">
      <c r="A19" s="18">
        <v>0</v>
      </c>
      <c r="B19" s="22">
        <v>60023</v>
      </c>
      <c r="C19" s="23" t="s">
        <v>56</v>
      </c>
      <c r="D19" s="198"/>
      <c r="E19" s="198"/>
      <c r="F19" s="199"/>
      <c r="G19" s="200"/>
      <c r="H19" s="187"/>
      <c r="I19" s="25">
        <f>IF(J19&lt;=1,' FY 2022 CN Tables 1A-1E '!$C$5,' FY 2022 CN Tables 1A-1E '!$B$5)</f>
        <v>3795.42</v>
      </c>
      <c r="J19" s="26">
        <v>0.98240000000000005</v>
      </c>
      <c r="K19" s="25">
        <f>IF(J19&lt;=1,' FY 2022 CN Tables 1A-1E '!$C$6,' FY 2022 CN Tables 1A-1E '!$B$6)</f>
        <v>2326.23</v>
      </c>
      <c r="L19" s="25">
        <f t="shared" si="0"/>
        <v>6054.8506080000006</v>
      </c>
      <c r="M19" s="27">
        <f>' FY 2022 CN Tables 1A-1E '!$B$33</f>
        <v>472.59</v>
      </c>
      <c r="N19" s="24">
        <v>0.9879</v>
      </c>
      <c r="O19" s="25">
        <f t="shared" si="1"/>
        <v>466.87166099999996</v>
      </c>
      <c r="P19" s="28">
        <f t="shared" si="2"/>
        <v>6521.7222690000008</v>
      </c>
      <c r="Q19" s="39">
        <v>33.674678554089944</v>
      </c>
      <c r="R19" s="36">
        <v>3.7289999999999997E-2</v>
      </c>
      <c r="S19" s="36">
        <v>3.5119999999999998E-2</v>
      </c>
      <c r="T19" s="25">
        <f t="shared" si="8"/>
        <v>225.78537917232001</v>
      </c>
      <c r="U19" s="25">
        <f t="shared" si="3"/>
        <v>16.396532734319997</v>
      </c>
      <c r="V19" s="42">
        <f t="shared" si="9"/>
        <v>242.18191190664001</v>
      </c>
      <c r="W19" s="36">
        <v>0.99587999999999999</v>
      </c>
      <c r="X19" s="43">
        <f t="shared" si="4"/>
        <v>-24.94598450496008</v>
      </c>
      <c r="Y19" s="36">
        <v>0.999</v>
      </c>
      <c r="Z19" s="43">
        <f t="shared" si="5"/>
        <v>-6.054850608000379</v>
      </c>
      <c r="AA19" s="18" t="s">
        <v>41</v>
      </c>
      <c r="AB19" s="44">
        <f t="shared" si="6"/>
        <v>0</v>
      </c>
      <c r="AC19" s="162">
        <f t="shared" si="7"/>
        <v>0</v>
      </c>
    </row>
    <row r="20" spans="1:29" x14ac:dyDescent="0.35">
      <c r="A20" s="18">
        <v>0</v>
      </c>
      <c r="B20" s="22">
        <v>60024</v>
      </c>
      <c r="C20" s="23" t="s">
        <v>57</v>
      </c>
      <c r="D20" s="198"/>
      <c r="E20" s="198"/>
      <c r="F20" s="199"/>
      <c r="G20" s="200"/>
      <c r="H20" s="187"/>
      <c r="I20" s="25">
        <f>IF(J20&lt;=1,' FY 2022 CN Tables 1A-1E '!$C$5,' FY 2022 CN Tables 1A-1E '!$B$5)</f>
        <v>3795.42</v>
      </c>
      <c r="J20" s="26">
        <v>0.98240000000000005</v>
      </c>
      <c r="K20" s="25">
        <f>IF(J20&lt;=1,' FY 2022 CN Tables 1A-1E '!$C$6,' FY 2022 CN Tables 1A-1E '!$B$6)</f>
        <v>2326.23</v>
      </c>
      <c r="L20" s="25">
        <f t="shared" si="0"/>
        <v>6054.8506080000006</v>
      </c>
      <c r="M20" s="27">
        <f>' FY 2022 CN Tables 1A-1E '!$B$33</f>
        <v>472.59</v>
      </c>
      <c r="N20" s="24">
        <v>0.9879</v>
      </c>
      <c r="O20" s="25">
        <f t="shared" si="1"/>
        <v>466.87166099999996</v>
      </c>
      <c r="P20" s="28">
        <f t="shared" si="2"/>
        <v>6521.7222690000008</v>
      </c>
      <c r="Q20" s="39">
        <v>0</v>
      </c>
      <c r="R20" s="36">
        <v>0.22500000000000001</v>
      </c>
      <c r="S20" s="36">
        <v>0.16041</v>
      </c>
      <c r="T20" s="25">
        <f t="shared" si="8"/>
        <v>1362.3413868000002</v>
      </c>
      <c r="U20" s="25">
        <f t="shared" si="3"/>
        <v>74.890883141009994</v>
      </c>
      <c r="V20" s="42">
        <f t="shared" si="9"/>
        <v>1437.2322699410101</v>
      </c>
      <c r="W20" s="36">
        <v>0.99843999999999999</v>
      </c>
      <c r="X20" s="43">
        <f t="shared" si="4"/>
        <v>-9.4455669484800371</v>
      </c>
      <c r="Y20" s="36">
        <v>0.99750000000000005</v>
      </c>
      <c r="Z20" s="43">
        <f t="shared" si="5"/>
        <v>-15.137126519999583</v>
      </c>
      <c r="AA20" s="18" t="s">
        <v>43</v>
      </c>
      <c r="AB20" s="44">
        <f t="shared" si="6"/>
        <v>-0.01</v>
      </c>
      <c r="AC20" s="162">
        <f t="shared" si="7"/>
        <v>-65.217222690000014</v>
      </c>
    </row>
    <row r="21" spans="1:29" x14ac:dyDescent="0.35">
      <c r="A21" s="18">
        <v>0</v>
      </c>
      <c r="B21" s="22">
        <v>60027</v>
      </c>
      <c r="C21" s="23" t="s">
        <v>58</v>
      </c>
      <c r="D21" s="198"/>
      <c r="E21" s="198"/>
      <c r="F21" s="199"/>
      <c r="G21" s="200"/>
      <c r="H21" s="187"/>
      <c r="I21" s="25">
        <f>IF(J21&lt;=1,' FY 2022 CN Tables 1A-1E '!$C$5,' FY 2022 CN Tables 1A-1E '!$B$5)</f>
        <v>4138.24</v>
      </c>
      <c r="J21" s="26">
        <v>1.0257000000000001</v>
      </c>
      <c r="K21" s="25">
        <f>IF(J21&lt;=1,' FY 2022 CN Tables 1A-1E '!$C$6,' FY 2022 CN Tables 1A-1E '!$B$6)</f>
        <v>1983.41</v>
      </c>
      <c r="L21" s="25">
        <f t="shared" si="0"/>
        <v>6228.0027680000003</v>
      </c>
      <c r="M21" s="27">
        <f>' FY 2022 CN Tables 1A-1E '!$B$33</f>
        <v>472.59</v>
      </c>
      <c r="N21" s="24">
        <v>1.0175000000000001</v>
      </c>
      <c r="O21" s="25">
        <f t="shared" si="1"/>
        <v>480.86032499999999</v>
      </c>
      <c r="P21" s="28">
        <f t="shared" si="2"/>
        <v>6708.8630929999999</v>
      </c>
      <c r="Q21" s="39">
        <v>2.7277645850092735</v>
      </c>
      <c r="R21" s="36">
        <v>0</v>
      </c>
      <c r="S21" s="36">
        <v>0</v>
      </c>
      <c r="T21" s="25">
        <f t="shared" si="8"/>
        <v>0</v>
      </c>
      <c r="U21" s="25">
        <f t="shared" si="3"/>
        <v>0</v>
      </c>
      <c r="V21" s="42">
        <f t="shared" si="9"/>
        <v>0</v>
      </c>
      <c r="W21" s="36">
        <v>1.0048600000000001</v>
      </c>
      <c r="X21" s="43">
        <f t="shared" si="4"/>
        <v>30.268093452480571</v>
      </c>
      <c r="Y21" s="36">
        <v>0.99099999999999999</v>
      </c>
      <c r="Z21" s="43">
        <f t="shared" si="5"/>
        <v>-56.052024911999979</v>
      </c>
      <c r="AA21" s="18" t="s">
        <v>43</v>
      </c>
      <c r="AB21" s="44">
        <f t="shared" si="6"/>
        <v>-0.01</v>
      </c>
      <c r="AC21" s="162">
        <f t="shared" si="7"/>
        <v>-67.088630929999994</v>
      </c>
    </row>
    <row r="22" spans="1:29" x14ac:dyDescent="0.35">
      <c r="A22" s="18">
        <v>0</v>
      </c>
      <c r="B22" s="22">
        <v>60028</v>
      </c>
      <c r="C22" s="23" t="s">
        <v>59</v>
      </c>
      <c r="D22" s="198"/>
      <c r="E22" s="198"/>
      <c r="F22" s="199"/>
      <c r="G22" s="200"/>
      <c r="H22" s="187"/>
      <c r="I22" s="25">
        <f>IF(J22&lt;=1,' FY 2022 CN Tables 1A-1E '!$C$5,' FY 2022 CN Tables 1A-1E '!$B$5)</f>
        <v>3795.42</v>
      </c>
      <c r="J22" s="26">
        <v>0.98240000000000005</v>
      </c>
      <c r="K22" s="25">
        <f>IF(J22&lt;=1,' FY 2022 CN Tables 1A-1E '!$C$6,' FY 2022 CN Tables 1A-1E '!$B$6)</f>
        <v>2326.23</v>
      </c>
      <c r="L22" s="25">
        <f t="shared" si="0"/>
        <v>6054.8506080000006</v>
      </c>
      <c r="M22" s="27">
        <f>' FY 2022 CN Tables 1A-1E '!$B$33</f>
        <v>472.59</v>
      </c>
      <c r="N22" s="24">
        <v>0.9879</v>
      </c>
      <c r="O22" s="25">
        <f t="shared" si="1"/>
        <v>466.87166099999996</v>
      </c>
      <c r="P22" s="28">
        <f t="shared" si="2"/>
        <v>6521.7222690000008</v>
      </c>
      <c r="Q22" s="39">
        <v>84.883215041241371</v>
      </c>
      <c r="R22" s="36">
        <v>0.10331</v>
      </c>
      <c r="S22" s="36">
        <v>9.0899999999999995E-2</v>
      </c>
      <c r="T22" s="25">
        <f t="shared" si="8"/>
        <v>625.52661631248009</v>
      </c>
      <c r="U22" s="25">
        <f t="shared" si="3"/>
        <v>42.438633984899994</v>
      </c>
      <c r="V22" s="42">
        <f t="shared" si="9"/>
        <v>667.96525029738007</v>
      </c>
      <c r="W22" s="36">
        <v>1.00935</v>
      </c>
      <c r="X22" s="43">
        <f t="shared" si="4"/>
        <v>56.61285318479986</v>
      </c>
      <c r="Y22" s="36">
        <v>0.99870000000000003</v>
      </c>
      <c r="Z22" s="43">
        <f t="shared" si="5"/>
        <v>-7.8713057903996742</v>
      </c>
      <c r="AA22" s="18" t="s">
        <v>41</v>
      </c>
      <c r="AB22" s="44">
        <f t="shared" si="6"/>
        <v>0</v>
      </c>
      <c r="AC22" s="162">
        <f t="shared" si="7"/>
        <v>0</v>
      </c>
    </row>
    <row r="23" spans="1:29" x14ac:dyDescent="0.35">
      <c r="A23" s="18">
        <v>0</v>
      </c>
      <c r="B23" s="22">
        <v>60030</v>
      </c>
      <c r="C23" s="23" t="s">
        <v>60</v>
      </c>
      <c r="D23" s="198"/>
      <c r="E23" s="198"/>
      <c r="F23" s="199"/>
      <c r="G23" s="200"/>
      <c r="H23" s="187"/>
      <c r="I23" s="25">
        <f>IF(J23&lt;=1,' FY 2022 CN Tables 1A-1E '!$C$5,' FY 2022 CN Tables 1A-1E '!$B$5)</f>
        <v>3795.42</v>
      </c>
      <c r="J23" s="26">
        <v>0.98240000000000005</v>
      </c>
      <c r="K23" s="25">
        <f>IF(J23&lt;=1,' FY 2022 CN Tables 1A-1E '!$C$6,' FY 2022 CN Tables 1A-1E '!$B$6)</f>
        <v>2326.23</v>
      </c>
      <c r="L23" s="25">
        <f t="shared" si="0"/>
        <v>6054.8506080000006</v>
      </c>
      <c r="M23" s="27">
        <f>' FY 2022 CN Tables 1A-1E '!$B$33</f>
        <v>472.59</v>
      </c>
      <c r="N23" s="24">
        <v>0.9879</v>
      </c>
      <c r="O23" s="25">
        <f t="shared" si="1"/>
        <v>466.87166099999996</v>
      </c>
      <c r="P23" s="28">
        <f t="shared" si="2"/>
        <v>6521.7222690000008</v>
      </c>
      <c r="Q23" s="39">
        <v>0</v>
      </c>
      <c r="R23" s="36">
        <v>0</v>
      </c>
      <c r="S23" s="36">
        <v>0</v>
      </c>
      <c r="T23" s="25">
        <f t="shared" si="8"/>
        <v>0</v>
      </c>
      <c r="U23" s="25">
        <f t="shared" si="3"/>
        <v>0</v>
      </c>
      <c r="V23" s="42">
        <f t="shared" si="9"/>
        <v>0</v>
      </c>
      <c r="W23" s="36">
        <v>1.0071000000000001</v>
      </c>
      <c r="X23" s="43">
        <f t="shared" si="4"/>
        <v>42.989439316800599</v>
      </c>
      <c r="Y23" s="36">
        <v>0.99419999999999997</v>
      </c>
      <c r="Z23" s="43">
        <f t="shared" si="5"/>
        <v>-35.118133526400015</v>
      </c>
      <c r="AA23" s="18" t="s">
        <v>41</v>
      </c>
      <c r="AB23" s="44">
        <f t="shared" si="6"/>
        <v>0</v>
      </c>
      <c r="AC23" s="162">
        <f t="shared" si="7"/>
        <v>0</v>
      </c>
    </row>
    <row r="24" spans="1:29" x14ac:dyDescent="0.35">
      <c r="A24" s="18">
        <v>0</v>
      </c>
      <c r="B24" s="22">
        <v>60031</v>
      </c>
      <c r="C24" s="23" t="s">
        <v>61</v>
      </c>
      <c r="D24" s="198"/>
      <c r="E24" s="198"/>
      <c r="F24" s="199"/>
      <c r="G24" s="200"/>
      <c r="H24" s="187"/>
      <c r="I24" s="25">
        <f>IF(J24&lt;=1,' FY 2022 CN Tables 1A-1E '!$C$5,' FY 2022 CN Tables 1A-1E '!$B$5)</f>
        <v>3795.42</v>
      </c>
      <c r="J24" s="26">
        <v>0.98240000000000005</v>
      </c>
      <c r="K24" s="25">
        <f>IF(J24&lt;=1,' FY 2022 CN Tables 1A-1E '!$C$6,' FY 2022 CN Tables 1A-1E '!$B$6)</f>
        <v>2326.23</v>
      </c>
      <c r="L24" s="25">
        <f t="shared" si="0"/>
        <v>6054.8506080000006</v>
      </c>
      <c r="M24" s="27">
        <f>' FY 2022 CN Tables 1A-1E '!$B$33</f>
        <v>472.59</v>
      </c>
      <c r="N24" s="24">
        <v>0.9879</v>
      </c>
      <c r="O24" s="25">
        <f t="shared" si="1"/>
        <v>466.87166099999996</v>
      </c>
      <c r="P24" s="28">
        <f t="shared" si="2"/>
        <v>6521.7222690000008</v>
      </c>
      <c r="Q24" s="39">
        <v>2.6184864538159314</v>
      </c>
      <c r="R24" s="36">
        <v>5.7800000000000004E-3</v>
      </c>
      <c r="S24" s="36">
        <v>5.0600000000000003E-3</v>
      </c>
      <c r="T24" s="25">
        <f t="shared" si="8"/>
        <v>34.997036514240008</v>
      </c>
      <c r="U24" s="25">
        <f t="shared" si="3"/>
        <v>2.3623706046599997</v>
      </c>
      <c r="V24" s="42">
        <f t="shared" si="9"/>
        <v>37.359407118900009</v>
      </c>
      <c r="W24" s="36">
        <v>0.99716000000000005</v>
      </c>
      <c r="X24" s="43">
        <f t="shared" si="4"/>
        <v>-17.19577572671972</v>
      </c>
      <c r="Y24" s="36">
        <v>1</v>
      </c>
      <c r="Z24" s="43">
        <f t="shared" si="5"/>
        <v>0</v>
      </c>
      <c r="AA24" s="18" t="s">
        <v>41</v>
      </c>
      <c r="AB24" s="44">
        <f t="shared" si="6"/>
        <v>0</v>
      </c>
      <c r="AC24" s="162">
        <f t="shared" si="7"/>
        <v>0</v>
      </c>
    </row>
    <row r="25" spans="1:29" x14ac:dyDescent="0.35">
      <c r="A25" s="18">
        <v>0</v>
      </c>
      <c r="B25" s="22">
        <v>60032</v>
      </c>
      <c r="C25" s="23" t="s">
        <v>62</v>
      </c>
      <c r="D25" s="198"/>
      <c r="E25" s="198"/>
      <c r="F25" s="199"/>
      <c r="G25" s="200"/>
      <c r="H25" s="187"/>
      <c r="I25" s="25">
        <f>IF(J25&lt;=1,' FY 2022 CN Tables 1A-1E '!$C$5,' FY 2022 CN Tables 1A-1E '!$B$5)</f>
        <v>3795.42</v>
      </c>
      <c r="J25" s="26">
        <v>0.98240000000000005</v>
      </c>
      <c r="K25" s="25">
        <f>IF(J25&lt;=1,' FY 2022 CN Tables 1A-1E '!$C$6,' FY 2022 CN Tables 1A-1E '!$B$6)</f>
        <v>2326.23</v>
      </c>
      <c r="L25" s="25">
        <f t="shared" si="0"/>
        <v>6054.8506080000006</v>
      </c>
      <c r="M25" s="27">
        <f>' FY 2022 CN Tables 1A-1E '!$B$33</f>
        <v>472.59</v>
      </c>
      <c r="N25" s="24">
        <v>0.9879</v>
      </c>
      <c r="O25" s="25">
        <f t="shared" si="1"/>
        <v>466.87166099999996</v>
      </c>
      <c r="P25" s="28">
        <f t="shared" si="2"/>
        <v>6521.7222690000008</v>
      </c>
      <c r="Q25" s="39">
        <v>30.217755730792749</v>
      </c>
      <c r="R25" s="36">
        <v>5.0799999999999998E-2</v>
      </c>
      <c r="S25" s="36">
        <v>5.8540000000000002E-2</v>
      </c>
      <c r="T25" s="25">
        <f t="shared" si="8"/>
        <v>307.58641088640002</v>
      </c>
      <c r="U25" s="25">
        <f t="shared" si="3"/>
        <v>27.330667034939999</v>
      </c>
      <c r="V25" s="42">
        <f t="shared" si="9"/>
        <v>334.91707792134002</v>
      </c>
      <c r="W25" s="36">
        <v>1.00678</v>
      </c>
      <c r="X25" s="43">
        <f t="shared" si="4"/>
        <v>41.051887122240259</v>
      </c>
      <c r="Y25" s="36">
        <v>0.99950000000000006</v>
      </c>
      <c r="Z25" s="43">
        <f t="shared" si="5"/>
        <v>-3.0274253039997348</v>
      </c>
      <c r="AA25" s="18" t="s">
        <v>41</v>
      </c>
      <c r="AB25" s="44">
        <f t="shared" si="6"/>
        <v>0</v>
      </c>
      <c r="AC25" s="162">
        <f t="shared" si="7"/>
        <v>0</v>
      </c>
    </row>
    <row r="26" spans="1:29" x14ac:dyDescent="0.35">
      <c r="A26" s="18">
        <v>0</v>
      </c>
      <c r="B26" s="22">
        <v>60034</v>
      </c>
      <c r="C26" s="23" t="s">
        <v>63</v>
      </c>
      <c r="D26" s="198"/>
      <c r="E26" s="198"/>
      <c r="F26" s="199"/>
      <c r="G26" s="200"/>
      <c r="H26" s="187"/>
      <c r="I26" s="25">
        <f>IF(J26&lt;=1,' FY 2022 CN Tables 1A-1E '!$C$5,' FY 2022 CN Tables 1A-1E '!$B$5)</f>
        <v>3795.42</v>
      </c>
      <c r="J26" s="26">
        <v>0.98240000000000005</v>
      </c>
      <c r="K26" s="25">
        <f>IF(J26&lt;=1,' FY 2022 CN Tables 1A-1E '!$C$6,' FY 2022 CN Tables 1A-1E '!$B$6)</f>
        <v>2326.23</v>
      </c>
      <c r="L26" s="25">
        <f t="shared" si="0"/>
        <v>6054.8506080000006</v>
      </c>
      <c r="M26" s="27">
        <f>' FY 2022 CN Tables 1A-1E '!$B$33</f>
        <v>472.59</v>
      </c>
      <c r="N26" s="24">
        <v>0.9879</v>
      </c>
      <c r="O26" s="25">
        <f t="shared" si="1"/>
        <v>466.87166099999996</v>
      </c>
      <c r="P26" s="28">
        <f t="shared" si="2"/>
        <v>6521.7222690000008</v>
      </c>
      <c r="Q26" s="39">
        <v>23.032871105211662</v>
      </c>
      <c r="R26" s="36">
        <v>3.3660000000000002E-2</v>
      </c>
      <c r="S26" s="36">
        <v>2.622E-2</v>
      </c>
      <c r="T26" s="25">
        <f t="shared" si="8"/>
        <v>203.80627146528005</v>
      </c>
      <c r="U26" s="25">
        <f t="shared" si="3"/>
        <v>12.241374951419999</v>
      </c>
      <c r="V26" s="42">
        <f t="shared" si="9"/>
        <v>216.04764641670005</v>
      </c>
      <c r="W26" s="36">
        <v>1.00037</v>
      </c>
      <c r="X26" s="43">
        <f t="shared" si="4"/>
        <v>2.2402947249602221</v>
      </c>
      <c r="Y26" s="36">
        <v>0.99719999999999998</v>
      </c>
      <c r="Z26" s="43">
        <f t="shared" si="5"/>
        <v>-16.953581702399788</v>
      </c>
      <c r="AA26" s="18" t="s">
        <v>41</v>
      </c>
      <c r="AB26" s="44">
        <f t="shared" si="6"/>
        <v>0</v>
      </c>
      <c r="AC26" s="162">
        <f t="shared" si="7"/>
        <v>0</v>
      </c>
    </row>
    <row r="27" spans="1:29" x14ac:dyDescent="0.35">
      <c r="A27" s="18">
        <v>0</v>
      </c>
      <c r="B27" s="22">
        <v>60044</v>
      </c>
      <c r="C27" s="23" t="s">
        <v>64</v>
      </c>
      <c r="D27" s="198"/>
      <c r="E27" s="198"/>
      <c r="F27" s="199"/>
      <c r="G27" s="200"/>
      <c r="H27" s="187"/>
      <c r="I27" s="25">
        <f>IF(J27&lt;=1,' FY 2022 CN Tables 1A-1E '!$C$5,' FY 2022 CN Tables 1A-1E '!$B$5)</f>
        <v>3795.42</v>
      </c>
      <c r="J27" s="26">
        <v>0.98240000000000005</v>
      </c>
      <c r="K27" s="25">
        <f>IF(J27&lt;=1,' FY 2022 CN Tables 1A-1E '!$C$6,' FY 2022 CN Tables 1A-1E '!$B$6)</f>
        <v>2326.23</v>
      </c>
      <c r="L27" s="25">
        <f t="shared" si="0"/>
        <v>6054.8506080000006</v>
      </c>
      <c r="M27" s="27">
        <f>' FY 2022 CN Tables 1A-1E '!$B$33</f>
        <v>472.59</v>
      </c>
      <c r="N27" s="24">
        <v>0.9879</v>
      </c>
      <c r="O27" s="25">
        <f t="shared" si="1"/>
        <v>466.87166099999996</v>
      </c>
      <c r="P27" s="28">
        <f t="shared" si="2"/>
        <v>6521.7222690000008</v>
      </c>
      <c r="Q27" s="39">
        <v>0</v>
      </c>
      <c r="R27" s="36">
        <v>0</v>
      </c>
      <c r="S27" s="36">
        <v>0</v>
      </c>
      <c r="T27" s="25">
        <f t="shared" si="8"/>
        <v>0</v>
      </c>
      <c r="U27" s="25">
        <f t="shared" si="3"/>
        <v>0</v>
      </c>
      <c r="V27" s="42">
        <f t="shared" si="9"/>
        <v>0</v>
      </c>
      <c r="W27" s="36">
        <v>1.0009600000000001</v>
      </c>
      <c r="X27" s="43">
        <f t="shared" si="4"/>
        <v>5.8126565836801092</v>
      </c>
      <c r="Y27" s="36">
        <v>1</v>
      </c>
      <c r="Z27" s="43">
        <f t="shared" si="5"/>
        <v>0</v>
      </c>
      <c r="AA27" s="18" t="s">
        <v>41</v>
      </c>
      <c r="AB27" s="44">
        <f t="shared" si="6"/>
        <v>0</v>
      </c>
      <c r="AC27" s="162">
        <f t="shared" si="7"/>
        <v>0</v>
      </c>
    </row>
    <row r="28" spans="1:29" x14ac:dyDescent="0.35">
      <c r="A28" s="18">
        <v>0</v>
      </c>
      <c r="B28" s="22">
        <v>60049</v>
      </c>
      <c r="C28" s="23" t="s">
        <v>65</v>
      </c>
      <c r="D28" s="198"/>
      <c r="E28" s="198"/>
      <c r="F28" s="199"/>
      <c r="G28" s="200"/>
      <c r="H28" s="187"/>
      <c r="I28" s="25">
        <f>IF(J28&lt;=1,' FY 2022 CN Tables 1A-1E '!$C$5,' FY 2022 CN Tables 1A-1E '!$B$5)</f>
        <v>3795.42</v>
      </c>
      <c r="J28" s="26">
        <v>0.98240000000000005</v>
      </c>
      <c r="K28" s="25">
        <f>IF(J28&lt;=1,' FY 2022 CN Tables 1A-1E '!$C$6,' FY 2022 CN Tables 1A-1E '!$B$6)</f>
        <v>2326.23</v>
      </c>
      <c r="L28" s="25">
        <f t="shared" si="0"/>
        <v>6054.8506080000006</v>
      </c>
      <c r="M28" s="27">
        <f>' FY 2022 CN Tables 1A-1E '!$B$33</f>
        <v>472.59</v>
      </c>
      <c r="N28" s="24">
        <v>0.9879</v>
      </c>
      <c r="O28" s="25">
        <f t="shared" si="1"/>
        <v>466.87166099999996</v>
      </c>
      <c r="P28" s="28">
        <f t="shared" si="2"/>
        <v>6521.7222690000008</v>
      </c>
      <c r="Q28" s="39">
        <v>0</v>
      </c>
      <c r="R28" s="36">
        <v>0</v>
      </c>
      <c r="S28" s="36">
        <v>0</v>
      </c>
      <c r="T28" s="25">
        <f t="shared" si="8"/>
        <v>0</v>
      </c>
      <c r="U28" s="25">
        <f t="shared" si="3"/>
        <v>0</v>
      </c>
      <c r="V28" s="42">
        <f t="shared" si="9"/>
        <v>0</v>
      </c>
      <c r="W28" s="36">
        <v>1.0268299999999999</v>
      </c>
      <c r="X28" s="43">
        <f t="shared" si="4"/>
        <v>162.45164181263954</v>
      </c>
      <c r="Y28" s="36">
        <v>1</v>
      </c>
      <c r="Z28" s="43">
        <f t="shared" si="5"/>
        <v>0</v>
      </c>
      <c r="AA28" s="18" t="s">
        <v>41</v>
      </c>
      <c r="AB28" s="44">
        <f t="shared" si="6"/>
        <v>0</v>
      </c>
      <c r="AC28" s="162">
        <f t="shared" si="7"/>
        <v>0</v>
      </c>
    </row>
    <row r="29" spans="1:29" x14ac:dyDescent="0.35">
      <c r="A29" s="18">
        <v>0</v>
      </c>
      <c r="B29" s="22">
        <v>60054</v>
      </c>
      <c r="C29" s="23" t="s">
        <v>66</v>
      </c>
      <c r="D29" s="198"/>
      <c r="E29" s="198"/>
      <c r="F29" s="199"/>
      <c r="G29" s="200"/>
      <c r="H29" s="187"/>
      <c r="I29" s="25">
        <f>IF(J29&lt;=1,' FY 2022 CN Tables 1A-1E '!$C$5,' FY 2022 CN Tables 1A-1E '!$B$5)</f>
        <v>3795.42</v>
      </c>
      <c r="J29" s="26">
        <v>0.98240000000000005</v>
      </c>
      <c r="K29" s="25">
        <f>IF(J29&lt;=1,' FY 2022 CN Tables 1A-1E '!$C$6,' FY 2022 CN Tables 1A-1E '!$B$6)</f>
        <v>2326.23</v>
      </c>
      <c r="L29" s="25">
        <f t="shared" si="0"/>
        <v>6054.8506080000006</v>
      </c>
      <c r="M29" s="27">
        <f>' FY 2022 CN Tables 1A-1E '!$B$33</f>
        <v>472.59</v>
      </c>
      <c r="N29" s="24">
        <v>0.9879</v>
      </c>
      <c r="O29" s="25">
        <f t="shared" si="1"/>
        <v>466.87166099999996</v>
      </c>
      <c r="P29" s="28">
        <f t="shared" si="2"/>
        <v>6521.7222690000008</v>
      </c>
      <c r="Q29" s="39">
        <v>0</v>
      </c>
      <c r="R29" s="36">
        <v>0</v>
      </c>
      <c r="S29" s="36">
        <v>0</v>
      </c>
      <c r="T29" s="25">
        <f t="shared" si="8"/>
        <v>0</v>
      </c>
      <c r="U29" s="25">
        <f t="shared" si="3"/>
        <v>0</v>
      </c>
      <c r="V29" s="42">
        <f t="shared" si="9"/>
        <v>0</v>
      </c>
      <c r="W29" s="36">
        <v>0.99795999999999996</v>
      </c>
      <c r="X29" s="43">
        <f t="shared" si="4"/>
        <v>-12.351895240320255</v>
      </c>
      <c r="Y29" s="36">
        <v>1</v>
      </c>
      <c r="Z29" s="43">
        <f t="shared" si="5"/>
        <v>0</v>
      </c>
      <c r="AA29" s="18" t="s">
        <v>43</v>
      </c>
      <c r="AB29" s="44">
        <f t="shared" si="6"/>
        <v>-0.01</v>
      </c>
      <c r="AC29" s="162">
        <f t="shared" si="7"/>
        <v>-65.217222690000014</v>
      </c>
    </row>
    <row r="30" spans="1:29" x14ac:dyDescent="0.35">
      <c r="A30" s="18">
        <v>0</v>
      </c>
      <c r="B30" s="22">
        <v>60064</v>
      </c>
      <c r="C30" s="23" t="s">
        <v>67</v>
      </c>
      <c r="D30" s="198"/>
      <c r="E30" s="198"/>
      <c r="F30" s="199"/>
      <c r="G30" s="200"/>
      <c r="H30" s="187"/>
      <c r="I30" s="25">
        <f>IF(J30&lt;=1,' FY 2022 CN Tables 1A-1E '!$C$5,' FY 2022 CN Tables 1A-1E '!$B$5)</f>
        <v>3795.42</v>
      </c>
      <c r="J30" s="26">
        <v>0.98240000000000005</v>
      </c>
      <c r="K30" s="25">
        <f>IF(J30&lt;=1,' FY 2022 CN Tables 1A-1E '!$C$6,' FY 2022 CN Tables 1A-1E '!$B$6)</f>
        <v>2326.23</v>
      </c>
      <c r="L30" s="25">
        <f t="shared" si="0"/>
        <v>6054.8506080000006</v>
      </c>
      <c r="M30" s="27">
        <f>' FY 2022 CN Tables 1A-1E '!$B$33</f>
        <v>472.59</v>
      </c>
      <c r="N30" s="24">
        <v>0.9879</v>
      </c>
      <c r="O30" s="25">
        <f t="shared" si="1"/>
        <v>466.87166099999996</v>
      </c>
      <c r="P30" s="28">
        <f t="shared" si="2"/>
        <v>6521.7222690000008</v>
      </c>
      <c r="Q30" s="39">
        <v>0</v>
      </c>
      <c r="R30" s="36">
        <v>0</v>
      </c>
      <c r="S30" s="36">
        <v>0</v>
      </c>
      <c r="T30" s="25">
        <f t="shared" si="8"/>
        <v>0</v>
      </c>
      <c r="U30" s="25">
        <f t="shared" si="3"/>
        <v>0</v>
      </c>
      <c r="V30" s="42">
        <f t="shared" si="9"/>
        <v>0</v>
      </c>
      <c r="W30" s="36">
        <v>0.99941000000000002</v>
      </c>
      <c r="X30" s="43">
        <f t="shared" si="4"/>
        <v>-3.572361858719876</v>
      </c>
      <c r="Y30" s="36">
        <v>0.99950000000000006</v>
      </c>
      <c r="Z30" s="43">
        <f t="shared" si="5"/>
        <v>-3.0274253039997348</v>
      </c>
      <c r="AA30" s="18" t="s">
        <v>43</v>
      </c>
      <c r="AB30" s="44">
        <f t="shared" si="6"/>
        <v>-0.01</v>
      </c>
      <c r="AC30" s="162">
        <f t="shared" si="7"/>
        <v>-65.217222690000014</v>
      </c>
    </row>
    <row r="31" spans="1:29" x14ac:dyDescent="0.35">
      <c r="A31" s="18">
        <v>0</v>
      </c>
      <c r="B31" s="22">
        <v>60065</v>
      </c>
      <c r="C31" s="23" t="s">
        <v>68</v>
      </c>
      <c r="D31" s="198"/>
      <c r="E31" s="198"/>
      <c r="F31" s="199"/>
      <c r="G31" s="200"/>
      <c r="H31" s="187"/>
      <c r="I31" s="25">
        <f>IF(J31&lt;=1,' FY 2022 CN Tables 1A-1E '!$C$5,' FY 2022 CN Tables 1A-1E '!$B$5)</f>
        <v>3795.42</v>
      </c>
      <c r="J31" s="26">
        <v>0.98240000000000005</v>
      </c>
      <c r="K31" s="25">
        <f>IF(J31&lt;=1,' FY 2022 CN Tables 1A-1E '!$C$6,' FY 2022 CN Tables 1A-1E '!$B$6)</f>
        <v>2326.23</v>
      </c>
      <c r="L31" s="25">
        <f t="shared" si="0"/>
        <v>6054.8506080000006</v>
      </c>
      <c r="M31" s="27">
        <f>' FY 2022 CN Tables 1A-1E '!$B$33</f>
        <v>472.59</v>
      </c>
      <c r="N31" s="24">
        <v>0.9879</v>
      </c>
      <c r="O31" s="25">
        <f t="shared" si="1"/>
        <v>466.87166099999996</v>
      </c>
      <c r="P31" s="28">
        <f t="shared" si="2"/>
        <v>6521.7222690000008</v>
      </c>
      <c r="Q31" s="39">
        <v>0.93163878724516458</v>
      </c>
      <c r="R31" s="36">
        <v>3.49E-3</v>
      </c>
      <c r="S31" s="36">
        <v>3.14E-3</v>
      </c>
      <c r="T31" s="25">
        <f t="shared" si="8"/>
        <v>21.131428621920001</v>
      </c>
      <c r="U31" s="25">
        <f t="shared" si="3"/>
        <v>1.4659770155399998</v>
      </c>
      <c r="V31" s="42">
        <f t="shared" si="9"/>
        <v>22.59740563746</v>
      </c>
      <c r="W31" s="36">
        <v>1.0024500000000001</v>
      </c>
      <c r="X31" s="43">
        <f t="shared" si="4"/>
        <v>14.83438398960061</v>
      </c>
      <c r="Y31" s="36">
        <v>0.99950000000000006</v>
      </c>
      <c r="Z31" s="43">
        <f t="shared" si="5"/>
        <v>-3.0274253039997348</v>
      </c>
      <c r="AA31" s="18" t="s">
        <v>41</v>
      </c>
      <c r="AB31" s="44">
        <f t="shared" si="6"/>
        <v>0</v>
      </c>
      <c r="AC31" s="162">
        <f t="shared" si="7"/>
        <v>0</v>
      </c>
    </row>
    <row r="32" spans="1:29" x14ac:dyDescent="0.35">
      <c r="A32" s="18">
        <v>0</v>
      </c>
      <c r="B32" s="22">
        <v>60071</v>
      </c>
      <c r="C32" s="23" t="s">
        <v>69</v>
      </c>
      <c r="D32" s="198"/>
      <c r="E32" s="198"/>
      <c r="F32" s="199"/>
      <c r="G32" s="200"/>
      <c r="H32" s="187"/>
      <c r="I32" s="25">
        <f>IF(J32&lt;=1,' FY 2022 CN Tables 1A-1E '!$C$5,' FY 2022 CN Tables 1A-1E '!$B$5)</f>
        <v>3795.42</v>
      </c>
      <c r="J32" s="26">
        <v>0.98240000000000005</v>
      </c>
      <c r="K32" s="25">
        <f>IF(J32&lt;=1,' FY 2022 CN Tables 1A-1E '!$C$6,' FY 2022 CN Tables 1A-1E '!$B$6)</f>
        <v>2326.23</v>
      </c>
      <c r="L32" s="25">
        <f t="shared" si="0"/>
        <v>6054.8506080000006</v>
      </c>
      <c r="M32" s="27">
        <f>' FY 2022 CN Tables 1A-1E '!$B$33</f>
        <v>472.59</v>
      </c>
      <c r="N32" s="24">
        <v>0.9879</v>
      </c>
      <c r="O32" s="25">
        <f t="shared" si="1"/>
        <v>466.87166099999996</v>
      </c>
      <c r="P32" s="28">
        <f t="shared" si="2"/>
        <v>6521.7222690000008</v>
      </c>
      <c r="Q32" s="39">
        <v>0</v>
      </c>
      <c r="R32" s="36">
        <v>0</v>
      </c>
      <c r="S32" s="36">
        <v>0</v>
      </c>
      <c r="T32" s="25">
        <f t="shared" si="8"/>
        <v>0</v>
      </c>
      <c r="U32" s="25">
        <f t="shared" si="3"/>
        <v>0</v>
      </c>
      <c r="V32" s="42">
        <f t="shared" si="9"/>
        <v>0</v>
      </c>
      <c r="W32" s="36">
        <v>1.00983</v>
      </c>
      <c r="X32" s="43">
        <f t="shared" si="4"/>
        <v>59.51918147664037</v>
      </c>
      <c r="Y32" s="36">
        <v>1</v>
      </c>
      <c r="Z32" s="43">
        <f t="shared" si="5"/>
        <v>0</v>
      </c>
      <c r="AA32" s="18" t="s">
        <v>43</v>
      </c>
      <c r="AB32" s="44">
        <f t="shared" si="6"/>
        <v>-0.01</v>
      </c>
      <c r="AC32" s="162">
        <f t="shared" si="7"/>
        <v>-65.217222690000014</v>
      </c>
    </row>
    <row r="33" spans="1:59" x14ac:dyDescent="0.35">
      <c r="A33" s="18">
        <v>0</v>
      </c>
      <c r="B33" s="22">
        <v>60075</v>
      </c>
      <c r="C33" s="23" t="s">
        <v>70</v>
      </c>
      <c r="D33" s="198"/>
      <c r="E33" s="198"/>
      <c r="F33" s="199"/>
      <c r="G33" s="200"/>
      <c r="H33" s="187"/>
      <c r="I33" s="25">
        <f>IF(J33&lt;=1,' FY 2022 CN Tables 1A-1E '!$C$5,' FY 2022 CN Tables 1A-1E '!$B$5)</f>
        <v>3795.42</v>
      </c>
      <c r="J33" s="26">
        <v>0.98240000000000005</v>
      </c>
      <c r="K33" s="25">
        <f>IF(J33&lt;=1,' FY 2022 CN Tables 1A-1E '!$C$6,' FY 2022 CN Tables 1A-1E '!$B$6)</f>
        <v>2326.23</v>
      </c>
      <c r="L33" s="25">
        <f t="shared" si="0"/>
        <v>6054.8506080000006</v>
      </c>
      <c r="M33" s="27">
        <f>' FY 2022 CN Tables 1A-1E '!$B$33</f>
        <v>472.59</v>
      </c>
      <c r="N33" s="24">
        <v>0.9879</v>
      </c>
      <c r="O33" s="25">
        <f t="shared" si="1"/>
        <v>466.87166099999996</v>
      </c>
      <c r="P33" s="28">
        <f t="shared" si="2"/>
        <v>6521.7222690000008</v>
      </c>
      <c r="Q33" s="39">
        <v>0</v>
      </c>
      <c r="R33" s="36">
        <v>0</v>
      </c>
      <c r="S33" s="36">
        <v>0</v>
      </c>
      <c r="T33" s="25">
        <f t="shared" si="8"/>
        <v>0</v>
      </c>
      <c r="U33" s="25">
        <f t="shared" si="3"/>
        <v>0</v>
      </c>
      <c r="V33" s="42">
        <f t="shared" si="9"/>
        <v>0</v>
      </c>
      <c r="W33" s="36">
        <v>0.99892999999999998</v>
      </c>
      <c r="X33" s="43">
        <f t="shared" si="4"/>
        <v>-6.4786901505600936</v>
      </c>
      <c r="Y33" s="36">
        <v>0.99990000000000001</v>
      </c>
      <c r="Z33" s="43">
        <f t="shared" si="5"/>
        <v>-0.60548506079976505</v>
      </c>
      <c r="AA33" s="18" t="s">
        <v>41</v>
      </c>
      <c r="AB33" s="44">
        <f t="shared" si="6"/>
        <v>0</v>
      </c>
      <c r="AC33" s="162">
        <f t="shared" si="7"/>
        <v>0</v>
      </c>
    </row>
    <row r="34" spans="1:59" x14ac:dyDescent="0.35">
      <c r="A34" s="18">
        <v>0</v>
      </c>
      <c r="B34" s="22">
        <v>60076</v>
      </c>
      <c r="C34" s="23" t="s">
        <v>71</v>
      </c>
      <c r="D34" s="198"/>
      <c r="E34" s="198"/>
      <c r="F34" s="199"/>
      <c r="G34" s="200"/>
      <c r="H34" s="187"/>
      <c r="I34" s="25">
        <f>IF(J34&lt;=1,' FY 2022 CN Tables 1A-1E '!$C$5,' FY 2022 CN Tables 1A-1E '!$B$5)</f>
        <v>3795.42</v>
      </c>
      <c r="J34" s="26">
        <v>0.98240000000000005</v>
      </c>
      <c r="K34" s="25">
        <f>IF(J34&lt;=1,' FY 2022 CN Tables 1A-1E '!$C$6,' FY 2022 CN Tables 1A-1E '!$B$6)</f>
        <v>2326.23</v>
      </c>
      <c r="L34" s="25">
        <f t="shared" si="0"/>
        <v>6054.8506080000006</v>
      </c>
      <c r="M34" s="27">
        <f>' FY 2022 CN Tables 1A-1E '!$B$33</f>
        <v>472.59</v>
      </c>
      <c r="N34" s="24">
        <v>0.9879</v>
      </c>
      <c r="O34" s="25">
        <f t="shared" si="1"/>
        <v>466.87166099999996</v>
      </c>
      <c r="P34" s="28">
        <f t="shared" si="2"/>
        <v>6521.7222690000008</v>
      </c>
      <c r="Q34" s="39">
        <v>0</v>
      </c>
      <c r="R34" s="36">
        <v>0</v>
      </c>
      <c r="S34" s="36">
        <v>0</v>
      </c>
      <c r="T34" s="25">
        <f t="shared" si="8"/>
        <v>0</v>
      </c>
      <c r="U34" s="25">
        <f t="shared" si="3"/>
        <v>0</v>
      </c>
      <c r="V34" s="42">
        <f t="shared" si="9"/>
        <v>0</v>
      </c>
      <c r="W34" s="36">
        <v>0.99711000000000005</v>
      </c>
      <c r="X34" s="43">
        <f t="shared" si="4"/>
        <v>-17.498518257119688</v>
      </c>
      <c r="Y34" s="36">
        <v>0.99650000000000005</v>
      </c>
      <c r="Z34" s="43">
        <f t="shared" si="5"/>
        <v>-21.191977127999962</v>
      </c>
      <c r="AA34" s="18" t="s">
        <v>41</v>
      </c>
      <c r="AB34" s="44">
        <f t="shared" si="6"/>
        <v>0</v>
      </c>
      <c r="AC34" s="162">
        <f t="shared" si="7"/>
        <v>0</v>
      </c>
    </row>
    <row r="35" spans="1:59" x14ac:dyDescent="0.35">
      <c r="A35" s="18">
        <v>0</v>
      </c>
      <c r="B35" s="22">
        <v>60096</v>
      </c>
      <c r="C35" s="23" t="s">
        <v>72</v>
      </c>
      <c r="D35" s="198"/>
      <c r="E35" s="198"/>
      <c r="F35" s="199"/>
      <c r="G35" s="200"/>
      <c r="H35" s="187"/>
      <c r="I35" s="25">
        <f>IF(J35&lt;=1,' FY 2022 CN Tables 1A-1E '!$C$5,' FY 2022 CN Tables 1A-1E '!$B$5)</f>
        <v>3795.42</v>
      </c>
      <c r="J35" s="26">
        <v>0.98240000000000005</v>
      </c>
      <c r="K35" s="25">
        <f>IF(J35&lt;=1,' FY 2022 CN Tables 1A-1E '!$C$6,' FY 2022 CN Tables 1A-1E '!$B$6)</f>
        <v>2326.23</v>
      </c>
      <c r="L35" s="25">
        <f t="shared" si="0"/>
        <v>6054.8506080000006</v>
      </c>
      <c r="M35" s="27">
        <f>' FY 2022 CN Tables 1A-1E '!$B$33</f>
        <v>472.59</v>
      </c>
      <c r="N35" s="24">
        <v>0.9879</v>
      </c>
      <c r="O35" s="25">
        <f t="shared" si="1"/>
        <v>466.87166099999996</v>
      </c>
      <c r="P35" s="28">
        <f t="shared" si="2"/>
        <v>6521.7222690000008</v>
      </c>
      <c r="Q35" s="39">
        <v>0</v>
      </c>
      <c r="R35" s="36">
        <v>0</v>
      </c>
      <c r="S35" s="36">
        <v>0</v>
      </c>
      <c r="T35" s="25">
        <f t="shared" si="8"/>
        <v>0</v>
      </c>
      <c r="U35" s="25">
        <f t="shared" si="3"/>
        <v>0</v>
      </c>
      <c r="V35" s="42">
        <f t="shared" si="9"/>
        <v>0</v>
      </c>
      <c r="W35" s="36">
        <v>1.0212699999999999</v>
      </c>
      <c r="X35" s="43">
        <f t="shared" si="4"/>
        <v>128.78667243215932</v>
      </c>
      <c r="Y35" s="36">
        <v>0.99960000000000004</v>
      </c>
      <c r="Z35" s="43">
        <f t="shared" si="5"/>
        <v>-2.4219402431999697</v>
      </c>
      <c r="AA35" s="18" t="s">
        <v>41</v>
      </c>
      <c r="AB35" s="44">
        <f t="shared" si="6"/>
        <v>0</v>
      </c>
      <c r="AC35" s="162">
        <f t="shared" si="7"/>
        <v>0</v>
      </c>
    </row>
    <row r="36" spans="1:59" x14ac:dyDescent="0.35">
      <c r="A36" s="18">
        <v>1</v>
      </c>
      <c r="B36" s="22">
        <v>60100</v>
      </c>
      <c r="C36" s="23" t="s">
        <v>73</v>
      </c>
      <c r="D36" s="198"/>
      <c r="E36" s="198"/>
      <c r="F36" s="199"/>
      <c r="G36" s="200"/>
      <c r="H36" s="187"/>
      <c r="I36" s="25">
        <f>IF(J36&lt;=1,' FY 2022 CN Tables 1A-1E '!$C$5,' FY 2022 CN Tables 1A-1E '!$B$5)</f>
        <v>3795.42</v>
      </c>
      <c r="J36" s="26">
        <v>0.98240000000000005</v>
      </c>
      <c r="K36" s="25">
        <f>IF(J36&lt;=1,' FY 2022 CN Tables 1A-1E '!$C$6,' FY 2022 CN Tables 1A-1E '!$B$6)</f>
        <v>2326.23</v>
      </c>
      <c r="L36" s="25">
        <f t="shared" si="0"/>
        <v>6054.8506080000006</v>
      </c>
      <c r="M36" s="27">
        <f>' FY 2022 CN Tables 1A-1E '!$B$33</f>
        <v>472.59</v>
      </c>
      <c r="N36" s="24">
        <v>0.9879</v>
      </c>
      <c r="O36" s="25">
        <f t="shared" si="1"/>
        <v>466.87166099999996</v>
      </c>
      <c r="P36" s="28">
        <f t="shared" si="2"/>
        <v>6521.7222690000008</v>
      </c>
      <c r="Q36" s="39">
        <v>0.26124941286989201</v>
      </c>
      <c r="R36" s="36">
        <v>1.0399999999999999E-3</v>
      </c>
      <c r="S36" s="36">
        <v>5.8599999999999998E-3</v>
      </c>
      <c r="T36" s="25">
        <f t="shared" si="8"/>
        <v>6.2970446323200004</v>
      </c>
      <c r="U36" s="25">
        <f t="shared" si="3"/>
        <v>2.7358679334599998</v>
      </c>
      <c r="V36" s="42">
        <f t="shared" si="9"/>
        <v>9.0329125657800002</v>
      </c>
      <c r="W36" s="36">
        <v>0.99748000000000003</v>
      </c>
      <c r="X36" s="43">
        <f t="shared" si="4"/>
        <v>-15.2582235321598</v>
      </c>
      <c r="Y36" s="36">
        <v>0.99439999999999995</v>
      </c>
      <c r="Z36" s="43">
        <f t="shared" si="5"/>
        <v>-33.907163404800485</v>
      </c>
      <c r="AA36" s="18" t="s">
        <v>41</v>
      </c>
      <c r="AB36" s="44">
        <f t="shared" si="6"/>
        <v>0</v>
      </c>
      <c r="AC36" s="162">
        <f t="shared" si="7"/>
        <v>0</v>
      </c>
    </row>
    <row r="37" spans="1:59" x14ac:dyDescent="0.35">
      <c r="A37" s="18">
        <v>1</v>
      </c>
      <c r="B37" s="22">
        <v>60103</v>
      </c>
      <c r="C37" s="23" t="s">
        <v>74</v>
      </c>
      <c r="D37" s="198"/>
      <c r="E37" s="198"/>
      <c r="F37" s="199"/>
      <c r="G37" s="200"/>
      <c r="H37" s="187"/>
      <c r="I37" s="25">
        <f>IF(J37&lt;=1,' FY 2022 CN Tables 1A-1E '!$C$5,' FY 2022 CN Tables 1A-1E '!$B$5)</f>
        <v>4138.24</v>
      </c>
      <c r="J37" s="26">
        <v>1.0257000000000001</v>
      </c>
      <c r="K37" s="25">
        <f>IF(J37&lt;=1,' FY 2022 CN Tables 1A-1E '!$C$6,' FY 2022 CN Tables 1A-1E '!$B$6)</f>
        <v>1983.41</v>
      </c>
      <c r="L37" s="25">
        <f t="shared" si="0"/>
        <v>6228.0027680000003</v>
      </c>
      <c r="M37" s="27">
        <f>' FY 2022 CN Tables 1A-1E '!$B$33</f>
        <v>472.59</v>
      </c>
      <c r="N37" s="24">
        <v>1.0175000000000001</v>
      </c>
      <c r="O37" s="25">
        <f t="shared" si="1"/>
        <v>480.86032499999999</v>
      </c>
      <c r="P37" s="28">
        <f t="shared" si="2"/>
        <v>6708.8630929999999</v>
      </c>
      <c r="Q37" s="39">
        <v>0</v>
      </c>
      <c r="R37" s="36">
        <v>0</v>
      </c>
      <c r="S37" s="36">
        <v>0</v>
      </c>
      <c r="T37" s="25">
        <f t="shared" ref="T37:T68" si="10">IFERROR((L37*R37),0)</f>
        <v>0</v>
      </c>
      <c r="U37" s="25">
        <f t="shared" ref="U37:U68" si="11">IFERROR(O37*S37,0)</f>
        <v>0</v>
      </c>
      <c r="V37" s="42">
        <f t="shared" si="9"/>
        <v>0</v>
      </c>
      <c r="W37" s="36">
        <v>0.99539999999999995</v>
      </c>
      <c r="X37" s="43">
        <f t="shared" ref="X37:X68" si="12">IF(W37=0,0,IF(W37&lt;1,(-L37*(1-W37)),(L37*W37-L37)))</f>
        <v>-28.648812732800302</v>
      </c>
      <c r="Y37" s="36">
        <v>0.99980000000000002</v>
      </c>
      <c r="Z37" s="43">
        <f t="shared" ref="Z37:Z68" si="13">IF(Y37&lt;&gt;0,(L37-Y37*L37)*-1,0)</f>
        <v>-1.2456005535996155</v>
      </c>
      <c r="AA37" s="18" t="s">
        <v>43</v>
      </c>
      <c r="AB37" s="44">
        <f t="shared" si="6"/>
        <v>-0.01</v>
      </c>
      <c r="AC37" s="162">
        <f t="shared" ref="AC37:AC68" si="14">P37*AB37</f>
        <v>-67.088630929999994</v>
      </c>
    </row>
    <row r="38" spans="1:59" x14ac:dyDescent="0.35">
      <c r="A38" s="18">
        <v>1</v>
      </c>
      <c r="B38" s="22">
        <v>60104</v>
      </c>
      <c r="C38" s="23" t="s">
        <v>75</v>
      </c>
      <c r="D38" s="198"/>
      <c r="E38" s="198"/>
      <c r="F38" s="199"/>
      <c r="G38" s="200"/>
      <c r="H38" s="187"/>
      <c r="I38" s="25">
        <f>IF(J38&lt;=1,' FY 2022 CN Tables 1A-1E '!$C$5,' FY 2022 CN Tables 1A-1E '!$B$5)</f>
        <v>3795.42</v>
      </c>
      <c r="J38" s="26">
        <v>0.98240000000000005</v>
      </c>
      <c r="K38" s="25">
        <f>IF(J38&lt;=1,' FY 2022 CN Tables 1A-1E '!$C$6,' FY 2022 CN Tables 1A-1E '!$B$6)</f>
        <v>2326.23</v>
      </c>
      <c r="L38" s="25">
        <f t="shared" si="0"/>
        <v>6054.8506080000006</v>
      </c>
      <c r="M38" s="27">
        <f>' FY 2022 CN Tables 1A-1E '!$B$33</f>
        <v>472.59</v>
      </c>
      <c r="N38" s="24">
        <v>0.9879</v>
      </c>
      <c r="O38" s="25">
        <f t="shared" si="1"/>
        <v>466.87166099999996</v>
      </c>
      <c r="P38" s="28">
        <f t="shared" si="2"/>
        <v>6521.7222690000008</v>
      </c>
      <c r="Q38" s="39">
        <v>86.353202514437328</v>
      </c>
      <c r="R38" s="36">
        <v>0.15903</v>
      </c>
      <c r="S38" s="36">
        <v>0.17104</v>
      </c>
      <c r="T38" s="25">
        <f t="shared" si="10"/>
        <v>962.9028921902401</v>
      </c>
      <c r="U38" s="25">
        <f t="shared" si="11"/>
        <v>79.853728897439993</v>
      </c>
      <c r="V38" s="42">
        <f t="shared" si="9"/>
        <v>1042.7566210876801</v>
      </c>
      <c r="W38" s="36">
        <v>1.0079100000000001</v>
      </c>
      <c r="X38" s="43">
        <f t="shared" si="12"/>
        <v>47.893868309280151</v>
      </c>
      <c r="Y38" s="36">
        <v>0.99490000000000001</v>
      </c>
      <c r="Z38" s="43">
        <f t="shared" si="13"/>
        <v>-30.879738100799841</v>
      </c>
      <c r="AA38" s="18" t="s">
        <v>41</v>
      </c>
      <c r="AB38" s="44">
        <f t="shared" si="6"/>
        <v>0</v>
      </c>
      <c r="AC38" s="162">
        <f t="shared" si="14"/>
        <v>0</v>
      </c>
    </row>
    <row r="39" spans="1:59" x14ac:dyDescent="0.35">
      <c r="A39" s="18">
        <v>1</v>
      </c>
      <c r="B39" s="22">
        <v>60107</v>
      </c>
      <c r="C39" s="23" t="s">
        <v>76</v>
      </c>
      <c r="D39" s="198"/>
      <c r="E39" s="198"/>
      <c r="F39" s="199"/>
      <c r="G39" s="200"/>
      <c r="H39" s="187"/>
      <c r="I39" s="25">
        <f>IF(J39&lt;=1,' FY 2022 CN Tables 1A-1E '!$C$5,' FY 2022 CN Tables 1A-1E '!$B$5)</f>
        <v>3795.42</v>
      </c>
      <c r="J39" s="26">
        <v>0.98240000000000005</v>
      </c>
      <c r="K39" s="25">
        <f>IF(J39&lt;=1,' FY 2022 CN Tables 1A-1E '!$C$6,' FY 2022 CN Tables 1A-1E '!$B$6)</f>
        <v>2326.23</v>
      </c>
      <c r="L39" s="25">
        <f t="shared" si="0"/>
        <v>6054.8506080000006</v>
      </c>
      <c r="M39" s="27">
        <f>' FY 2022 CN Tables 1A-1E '!$B$33</f>
        <v>472.59</v>
      </c>
      <c r="N39" s="24">
        <v>0.9879</v>
      </c>
      <c r="O39" s="25">
        <f t="shared" si="1"/>
        <v>466.87166099999996</v>
      </c>
      <c r="P39" s="28">
        <f t="shared" si="2"/>
        <v>6521.7222690000008</v>
      </c>
      <c r="Q39" s="39">
        <v>452.39860642820634</v>
      </c>
      <c r="R39" s="36">
        <v>0</v>
      </c>
      <c r="S39" s="36">
        <v>0</v>
      </c>
      <c r="T39" s="25">
        <f t="shared" si="10"/>
        <v>0</v>
      </c>
      <c r="U39" s="25">
        <f t="shared" si="11"/>
        <v>0</v>
      </c>
      <c r="V39" s="42">
        <f t="shared" si="9"/>
        <v>0</v>
      </c>
      <c r="W39" s="36">
        <v>1</v>
      </c>
      <c r="X39" s="43">
        <f t="shared" si="12"/>
        <v>0</v>
      </c>
      <c r="Y39" s="36">
        <v>1</v>
      </c>
      <c r="Z39" s="43">
        <f t="shared" si="13"/>
        <v>0</v>
      </c>
      <c r="AA39" s="18" t="s">
        <v>41</v>
      </c>
      <c r="AB39" s="44">
        <f t="shared" si="6"/>
        <v>0</v>
      </c>
      <c r="AC39" s="162">
        <f t="shared" si="14"/>
        <v>0</v>
      </c>
    </row>
    <row r="40" spans="1:59" x14ac:dyDescent="0.35">
      <c r="A40" s="18">
        <v>1</v>
      </c>
      <c r="B40" s="22">
        <v>60112</v>
      </c>
      <c r="C40" s="23" t="s">
        <v>77</v>
      </c>
      <c r="D40" s="198"/>
      <c r="E40" s="198"/>
      <c r="F40" s="199"/>
      <c r="G40" s="200"/>
      <c r="H40" s="187"/>
      <c r="I40" s="25">
        <f>IF(J40&lt;=1,' FY 2022 CN Tables 1A-1E '!$C$5,' FY 2022 CN Tables 1A-1E '!$B$5)</f>
        <v>3795.42</v>
      </c>
      <c r="J40" s="26">
        <v>0.98240000000000005</v>
      </c>
      <c r="K40" s="25">
        <f>IF(J40&lt;=1,' FY 2022 CN Tables 1A-1E '!$C$6,' FY 2022 CN Tables 1A-1E '!$B$6)</f>
        <v>2326.23</v>
      </c>
      <c r="L40" s="25">
        <f t="shared" si="0"/>
        <v>6054.8506080000006</v>
      </c>
      <c r="M40" s="27">
        <f>' FY 2022 CN Tables 1A-1E '!$B$33</f>
        <v>472.59</v>
      </c>
      <c r="N40" s="24">
        <v>0.9879</v>
      </c>
      <c r="O40" s="25">
        <f t="shared" si="1"/>
        <v>466.87166099999996</v>
      </c>
      <c r="P40" s="28">
        <f t="shared" si="2"/>
        <v>6521.7222690000008</v>
      </c>
      <c r="Q40" s="39">
        <v>34.600183486238528</v>
      </c>
      <c r="R40" s="36">
        <v>0.12144000000000001</v>
      </c>
      <c r="S40" s="36">
        <v>0.17169999999999999</v>
      </c>
      <c r="T40" s="25">
        <f t="shared" si="10"/>
        <v>735.30105783552017</v>
      </c>
      <c r="U40" s="25">
        <f t="shared" si="11"/>
        <v>80.161864193699984</v>
      </c>
      <c r="V40" s="42">
        <f t="shared" si="9"/>
        <v>815.46292202922018</v>
      </c>
      <c r="W40" s="36">
        <v>1.00518</v>
      </c>
      <c r="X40" s="43">
        <f t="shared" si="12"/>
        <v>31.364126149439471</v>
      </c>
      <c r="Y40" s="36">
        <v>0.99970000000000003</v>
      </c>
      <c r="Z40" s="43">
        <f t="shared" si="13"/>
        <v>-1.8164551824002046</v>
      </c>
      <c r="AA40" s="18" t="s">
        <v>41</v>
      </c>
      <c r="AB40" s="44">
        <f t="shared" si="6"/>
        <v>0</v>
      </c>
      <c r="AC40" s="162">
        <f t="shared" si="14"/>
        <v>0</v>
      </c>
    </row>
    <row r="41" spans="1:59" x14ac:dyDescent="0.35">
      <c r="A41" s="18">
        <v>1</v>
      </c>
      <c r="B41" s="22">
        <v>60113</v>
      </c>
      <c r="C41" s="23" t="s">
        <v>78</v>
      </c>
      <c r="D41" s="198"/>
      <c r="E41" s="198"/>
      <c r="F41" s="199"/>
      <c r="G41" s="200"/>
      <c r="H41" s="187"/>
      <c r="I41" s="25">
        <f>IF(J41&lt;=1,' FY 2022 CN Tables 1A-1E '!$C$5,' FY 2022 CN Tables 1A-1E '!$B$5)</f>
        <v>3795.42</v>
      </c>
      <c r="J41" s="26">
        <v>0.98240000000000005</v>
      </c>
      <c r="K41" s="25">
        <f>IF(J41&lt;=1,' FY 2022 CN Tables 1A-1E '!$C$6,' FY 2022 CN Tables 1A-1E '!$B$6)</f>
        <v>2326.23</v>
      </c>
      <c r="L41" s="25">
        <f t="shared" si="0"/>
        <v>6054.8506080000006</v>
      </c>
      <c r="M41" s="27">
        <f>' FY 2022 CN Tables 1A-1E '!$B$33</f>
        <v>472.59</v>
      </c>
      <c r="N41" s="24">
        <v>0.9879</v>
      </c>
      <c r="O41" s="25">
        <f t="shared" si="1"/>
        <v>466.87166099999996</v>
      </c>
      <c r="P41" s="28">
        <f t="shared" si="2"/>
        <v>6521.7222690000008</v>
      </c>
      <c r="Q41" s="39">
        <v>0</v>
      </c>
      <c r="R41" s="36">
        <v>0</v>
      </c>
      <c r="S41" s="36">
        <v>0</v>
      </c>
      <c r="T41" s="25">
        <f t="shared" si="10"/>
        <v>0</v>
      </c>
      <c r="U41" s="25">
        <f t="shared" si="11"/>
        <v>0</v>
      </c>
      <c r="V41" s="42">
        <f t="shared" si="9"/>
        <v>0</v>
      </c>
      <c r="W41" s="36">
        <v>0.99683999999999995</v>
      </c>
      <c r="X41" s="43">
        <f t="shared" si="12"/>
        <v>-19.133327921280316</v>
      </c>
      <c r="Y41" s="36">
        <v>0.99809999999999999</v>
      </c>
      <c r="Z41" s="43">
        <f t="shared" si="13"/>
        <v>-11.504216155200083</v>
      </c>
      <c r="AA41" s="18" t="s">
        <v>41</v>
      </c>
      <c r="AB41" s="44">
        <f t="shared" si="6"/>
        <v>0</v>
      </c>
      <c r="AC41" s="162">
        <f t="shared" si="14"/>
        <v>0</v>
      </c>
    </row>
    <row r="42" spans="1:59" x14ac:dyDescent="0.35">
      <c r="A42" s="18">
        <v>1</v>
      </c>
      <c r="B42" s="22">
        <v>60114</v>
      </c>
      <c r="C42" s="23" t="s">
        <v>79</v>
      </c>
      <c r="D42" s="198"/>
      <c r="E42" s="198"/>
      <c r="F42" s="199"/>
      <c r="G42" s="200"/>
      <c r="H42" s="187"/>
      <c r="I42" s="25">
        <f>IF(J42&lt;=1,' FY 2022 CN Tables 1A-1E '!$C$5,' FY 2022 CN Tables 1A-1E '!$B$5)</f>
        <v>3795.42</v>
      </c>
      <c r="J42" s="26">
        <v>0.98240000000000005</v>
      </c>
      <c r="K42" s="25">
        <f>IF(J42&lt;=1,' FY 2022 CN Tables 1A-1E '!$C$6,' FY 2022 CN Tables 1A-1E '!$B$6)</f>
        <v>2326.23</v>
      </c>
      <c r="L42" s="25">
        <f t="shared" si="0"/>
        <v>6054.8506080000006</v>
      </c>
      <c r="M42" s="27">
        <f>' FY 2022 CN Tables 1A-1E '!$B$33</f>
        <v>472.59</v>
      </c>
      <c r="N42" s="24">
        <v>0.9879</v>
      </c>
      <c r="O42" s="25">
        <f t="shared" si="1"/>
        <v>466.87166099999996</v>
      </c>
      <c r="P42" s="28">
        <f t="shared" si="2"/>
        <v>6521.7222690000008</v>
      </c>
      <c r="Q42" s="39">
        <v>0</v>
      </c>
      <c r="R42" s="36">
        <v>0</v>
      </c>
      <c r="S42" s="36">
        <v>0</v>
      </c>
      <c r="T42" s="25">
        <f t="shared" si="10"/>
        <v>0</v>
      </c>
      <c r="U42" s="25">
        <f t="shared" si="11"/>
        <v>0</v>
      </c>
      <c r="V42" s="42">
        <f t="shared" si="9"/>
        <v>0</v>
      </c>
      <c r="W42" s="36">
        <v>1.0066200000000001</v>
      </c>
      <c r="X42" s="43">
        <f t="shared" si="12"/>
        <v>40.08311102496009</v>
      </c>
      <c r="Y42" s="36">
        <v>0.99219999999999997</v>
      </c>
      <c r="Z42" s="43">
        <f t="shared" si="13"/>
        <v>-47.227834742399864</v>
      </c>
      <c r="AA42" s="18" t="s">
        <v>41</v>
      </c>
      <c r="AB42" s="44">
        <f t="shared" si="6"/>
        <v>0</v>
      </c>
      <c r="AC42" s="162">
        <f t="shared" si="14"/>
        <v>0</v>
      </c>
    </row>
    <row r="43" spans="1:59" x14ac:dyDescent="0.35">
      <c r="A43" s="18">
        <v>1</v>
      </c>
      <c r="B43" s="22">
        <v>60116</v>
      </c>
      <c r="C43" s="23" t="s">
        <v>80</v>
      </c>
      <c r="D43" s="198"/>
      <c r="E43" s="198"/>
      <c r="F43" s="199"/>
      <c r="G43" s="200"/>
      <c r="H43" s="187"/>
      <c r="I43" s="25">
        <f>IF(J43&lt;=1,' FY 2022 CN Tables 1A-1E '!$C$5,' FY 2022 CN Tables 1A-1E '!$B$5)</f>
        <v>4138.24</v>
      </c>
      <c r="J43" s="26">
        <v>1.0257000000000001</v>
      </c>
      <c r="K43" s="25">
        <f>IF(J43&lt;=1,' FY 2022 CN Tables 1A-1E '!$C$6,' FY 2022 CN Tables 1A-1E '!$B$6)</f>
        <v>1983.41</v>
      </c>
      <c r="L43" s="25">
        <f t="shared" si="0"/>
        <v>6228.0027680000003</v>
      </c>
      <c r="M43" s="27">
        <f>' FY 2022 CN Tables 1A-1E '!$B$33</f>
        <v>472.59</v>
      </c>
      <c r="N43" s="24">
        <v>1.0175000000000001</v>
      </c>
      <c r="O43" s="25">
        <f t="shared" si="1"/>
        <v>480.86032499999999</v>
      </c>
      <c r="P43" s="28">
        <f t="shared" si="2"/>
        <v>6708.8630929999999</v>
      </c>
      <c r="Q43" s="39">
        <v>0</v>
      </c>
      <c r="R43" s="36">
        <v>0</v>
      </c>
      <c r="S43" s="36">
        <v>0</v>
      </c>
      <c r="T43" s="25">
        <f t="shared" si="10"/>
        <v>0</v>
      </c>
      <c r="U43" s="25">
        <f t="shared" si="11"/>
        <v>0</v>
      </c>
      <c r="V43" s="42">
        <f t="shared" si="9"/>
        <v>0</v>
      </c>
      <c r="W43" s="36">
        <v>1.0079100000000001</v>
      </c>
      <c r="X43" s="43">
        <f t="shared" si="12"/>
        <v>49.263501894880392</v>
      </c>
      <c r="Y43" s="36">
        <v>1</v>
      </c>
      <c r="Z43" s="43">
        <f t="shared" si="13"/>
        <v>0</v>
      </c>
      <c r="AA43" s="18" t="s">
        <v>41</v>
      </c>
      <c r="AB43" s="44">
        <f t="shared" si="6"/>
        <v>0</v>
      </c>
      <c r="AC43" s="162">
        <f t="shared" si="14"/>
        <v>0</v>
      </c>
    </row>
    <row r="44" spans="1:59" x14ac:dyDescent="0.35">
      <c r="A44" s="18">
        <v>1</v>
      </c>
      <c r="B44" s="22">
        <v>60117</v>
      </c>
      <c r="C44" s="23" t="s">
        <v>81</v>
      </c>
      <c r="D44" s="198"/>
      <c r="E44" s="198"/>
      <c r="F44" s="199"/>
      <c r="G44" s="200"/>
      <c r="H44" s="187"/>
      <c r="I44" s="25">
        <f>IF(J44&lt;=1,' FY 2022 CN Tables 1A-1E '!$C$5,' FY 2022 CN Tables 1A-1E '!$B$5)</f>
        <v>3795.42</v>
      </c>
      <c r="J44" s="26">
        <v>0.98240000000000005</v>
      </c>
      <c r="K44" s="25">
        <f>IF(J44&lt;=1,' FY 2022 CN Tables 1A-1E '!$C$6,' FY 2022 CN Tables 1A-1E '!$B$6)</f>
        <v>2326.23</v>
      </c>
      <c r="L44" s="25">
        <f t="shared" si="0"/>
        <v>6054.8506080000006</v>
      </c>
      <c r="M44" s="27">
        <f>' FY 2022 CN Tables 1A-1E '!$B$33</f>
        <v>472.59</v>
      </c>
      <c r="N44" s="24">
        <v>0.9879</v>
      </c>
      <c r="O44" s="25">
        <f t="shared" si="1"/>
        <v>466.87166099999996</v>
      </c>
      <c r="P44" s="28">
        <f t="shared" si="2"/>
        <v>6521.7222690000008</v>
      </c>
      <c r="Q44" s="39">
        <v>0</v>
      </c>
      <c r="R44" s="36">
        <v>0</v>
      </c>
      <c r="S44" s="36">
        <v>0</v>
      </c>
      <c r="T44" s="25">
        <f t="shared" si="10"/>
        <v>0</v>
      </c>
      <c r="U44" s="25">
        <f t="shared" si="11"/>
        <v>0</v>
      </c>
      <c r="V44" s="42">
        <f t="shared" si="9"/>
        <v>0</v>
      </c>
      <c r="W44" s="36">
        <v>1</v>
      </c>
      <c r="X44" s="43">
        <f t="shared" si="12"/>
        <v>0</v>
      </c>
      <c r="Y44" s="36">
        <v>1</v>
      </c>
      <c r="Z44" s="43">
        <f t="shared" si="13"/>
        <v>0</v>
      </c>
      <c r="AA44" s="18" t="s">
        <v>41</v>
      </c>
      <c r="AB44" s="44">
        <f t="shared" si="6"/>
        <v>0</v>
      </c>
      <c r="AC44" s="162">
        <f t="shared" si="14"/>
        <v>0</v>
      </c>
    </row>
    <row r="45" spans="1:59" x14ac:dyDescent="0.35">
      <c r="A45" s="18">
        <v>1</v>
      </c>
      <c r="B45" s="22">
        <v>60118</v>
      </c>
      <c r="C45" s="23" t="s">
        <v>82</v>
      </c>
      <c r="D45" s="198"/>
      <c r="E45" s="198"/>
      <c r="F45" s="199"/>
      <c r="G45" s="200"/>
      <c r="H45" s="187"/>
      <c r="I45" s="25">
        <f>IF(J45&lt;=1,' FY 2022 CN Tables 1A-1E '!$C$5,' FY 2022 CN Tables 1A-1E '!$B$5)</f>
        <v>3795.42</v>
      </c>
      <c r="J45" s="26">
        <v>0.98240000000000005</v>
      </c>
      <c r="K45" s="25">
        <f>IF(J45&lt;=1,' FY 2022 CN Tables 1A-1E '!$C$6,' FY 2022 CN Tables 1A-1E '!$B$6)</f>
        <v>2326.23</v>
      </c>
      <c r="L45" s="25">
        <f t="shared" si="0"/>
        <v>6054.8506080000006</v>
      </c>
      <c r="M45" s="27">
        <f>' FY 2022 CN Tables 1A-1E '!$B$33</f>
        <v>472.59</v>
      </c>
      <c r="N45" s="24">
        <v>0.9879</v>
      </c>
      <c r="O45" s="25">
        <f t="shared" si="1"/>
        <v>466.87166099999996</v>
      </c>
      <c r="P45" s="28">
        <f t="shared" si="2"/>
        <v>6521.7222690000008</v>
      </c>
      <c r="Q45" s="39">
        <v>0</v>
      </c>
      <c r="R45" s="36">
        <v>0</v>
      </c>
      <c r="S45" s="36">
        <v>0</v>
      </c>
      <c r="T45" s="25">
        <f t="shared" si="10"/>
        <v>0</v>
      </c>
      <c r="U45" s="25">
        <f t="shared" si="11"/>
        <v>0</v>
      </c>
      <c r="V45" s="42">
        <f t="shared" si="9"/>
        <v>0</v>
      </c>
      <c r="W45" s="36">
        <v>1</v>
      </c>
      <c r="X45" s="43">
        <f t="shared" si="12"/>
        <v>0</v>
      </c>
      <c r="Y45" s="36">
        <v>0.99490000000000001</v>
      </c>
      <c r="Z45" s="43">
        <f t="shared" si="13"/>
        <v>-30.879738100799841</v>
      </c>
      <c r="AA45" s="18" t="s">
        <v>41</v>
      </c>
      <c r="AB45" s="44">
        <f t="shared" si="6"/>
        <v>0</v>
      </c>
      <c r="AC45" s="162">
        <f t="shared" si="14"/>
        <v>0</v>
      </c>
    </row>
    <row r="46" spans="1:59" x14ac:dyDescent="0.35">
      <c r="A46" s="18">
        <v>1</v>
      </c>
      <c r="B46" s="22">
        <v>60119</v>
      </c>
      <c r="C46" s="23" t="s">
        <v>83</v>
      </c>
      <c r="D46" s="198"/>
      <c r="E46" s="198"/>
      <c r="F46" s="199"/>
      <c r="G46" s="200"/>
      <c r="H46" s="187"/>
      <c r="I46" s="25">
        <f>IF(J46&lt;=1,' FY 2022 CN Tables 1A-1E '!$C$5,' FY 2022 CN Tables 1A-1E '!$B$5)</f>
        <v>3795.42</v>
      </c>
      <c r="J46" s="26">
        <v>0.98240000000000005</v>
      </c>
      <c r="K46" s="25">
        <f>IF(J46&lt;=1,' FY 2022 CN Tables 1A-1E '!$C$6,' FY 2022 CN Tables 1A-1E '!$B$6)</f>
        <v>2326.23</v>
      </c>
      <c r="L46" s="25">
        <f t="shared" si="0"/>
        <v>6054.8506080000006</v>
      </c>
      <c r="M46" s="27">
        <f>' FY 2022 CN Tables 1A-1E '!$B$33</f>
        <v>472.59</v>
      </c>
      <c r="N46" s="24">
        <v>0.9879</v>
      </c>
      <c r="O46" s="25">
        <f t="shared" si="1"/>
        <v>466.87166099999996</v>
      </c>
      <c r="P46" s="28">
        <f t="shared" si="2"/>
        <v>6521.7222690000008</v>
      </c>
      <c r="Q46" s="39">
        <v>0</v>
      </c>
      <c r="R46" s="36">
        <v>0</v>
      </c>
      <c r="S46" s="36">
        <v>0</v>
      </c>
      <c r="T46" s="25">
        <f t="shared" si="10"/>
        <v>0</v>
      </c>
      <c r="U46" s="25">
        <f t="shared" si="11"/>
        <v>0</v>
      </c>
      <c r="V46" s="42">
        <f t="shared" si="9"/>
        <v>0</v>
      </c>
      <c r="W46" s="36">
        <v>1.00213</v>
      </c>
      <c r="X46" s="43">
        <f t="shared" si="12"/>
        <v>12.896831795039361</v>
      </c>
      <c r="Y46" s="36">
        <v>1</v>
      </c>
      <c r="Z46" s="43">
        <f t="shared" si="13"/>
        <v>0</v>
      </c>
      <c r="AA46" s="18" t="s">
        <v>43</v>
      </c>
      <c r="AB46" s="44">
        <f t="shared" si="6"/>
        <v>-0.01</v>
      </c>
      <c r="AC46" s="162">
        <f t="shared" si="14"/>
        <v>-65.217222690000014</v>
      </c>
    </row>
    <row r="47" spans="1:59" s="14" customFormat="1" x14ac:dyDescent="0.35">
      <c r="A47" s="144">
        <v>1</v>
      </c>
      <c r="B47" s="145">
        <v>60124</v>
      </c>
      <c r="C47" s="146" t="s">
        <v>84</v>
      </c>
      <c r="D47" s="203"/>
      <c r="E47" s="203"/>
      <c r="F47" s="204"/>
      <c r="G47" s="205"/>
      <c r="H47" s="188"/>
      <c r="I47" s="25">
        <f>IF(J47&lt;=1,' FY 2022 CN Tables 1A-1E '!$C$5,' FY 2022 CN Tables 1A-1E '!$B$5)</f>
        <v>3795.42</v>
      </c>
      <c r="J47" s="147">
        <v>0.98240000000000005</v>
      </c>
      <c r="K47" s="25">
        <f>IF(J47&lt;=1,' FY 2022 CN Tables 1A-1E '!$C$6,' FY 2022 CN Tables 1A-1E '!$B$6)</f>
        <v>2326.23</v>
      </c>
      <c r="L47" s="25">
        <f t="shared" si="0"/>
        <v>6054.8506080000006</v>
      </c>
      <c r="M47" s="27">
        <f>' FY 2022 CN Tables 1A-1E '!$B$33</f>
        <v>472.59</v>
      </c>
      <c r="N47" s="140">
        <v>0.9879</v>
      </c>
      <c r="O47" s="141">
        <f t="shared" si="1"/>
        <v>466.87166099999996</v>
      </c>
      <c r="P47" s="148">
        <f t="shared" si="2"/>
        <v>6521.7222690000008</v>
      </c>
      <c r="Q47" s="149">
        <v>0</v>
      </c>
      <c r="R47" s="142">
        <v>0</v>
      </c>
      <c r="S47" s="142">
        <v>0</v>
      </c>
      <c r="T47" s="141">
        <f t="shared" si="10"/>
        <v>0</v>
      </c>
      <c r="U47" s="141">
        <f t="shared" si="11"/>
        <v>0</v>
      </c>
      <c r="V47" s="150">
        <f t="shared" si="9"/>
        <v>0</v>
      </c>
      <c r="W47" s="142">
        <v>1</v>
      </c>
      <c r="X47" s="143">
        <f t="shared" si="12"/>
        <v>0</v>
      </c>
      <c r="Y47" s="142">
        <v>1</v>
      </c>
      <c r="Z47" s="143">
        <f t="shared" si="13"/>
        <v>0</v>
      </c>
      <c r="AA47" s="144" t="s">
        <v>41</v>
      </c>
      <c r="AB47" s="151">
        <f t="shared" si="6"/>
        <v>0</v>
      </c>
      <c r="AC47" s="143">
        <f t="shared" si="14"/>
        <v>0</v>
      </c>
      <c r="AD47" s="38"/>
      <c r="AE47" s="38"/>
      <c r="AF47" s="38"/>
      <c r="AG47" s="38"/>
      <c r="AH47" s="38"/>
      <c r="AI47" s="38"/>
      <c r="AJ47" s="38"/>
      <c r="AK47" s="38"/>
      <c r="AL47" s="38"/>
      <c r="AM47" s="38"/>
      <c r="AN47" s="38"/>
      <c r="AO47" s="38"/>
      <c r="AP47" s="38"/>
      <c r="AQ47" s="38"/>
      <c r="AR47" s="38"/>
      <c r="AS47" s="38"/>
      <c r="AT47" s="38"/>
      <c r="AU47" s="38"/>
      <c r="AV47" s="38"/>
      <c r="AW47" s="38"/>
      <c r="AX47" s="38"/>
      <c r="AY47" s="38"/>
      <c r="AZ47" s="38"/>
      <c r="BA47" s="38"/>
      <c r="BB47" s="38"/>
      <c r="BC47" s="38"/>
      <c r="BD47" s="38"/>
      <c r="BE47" s="38"/>
      <c r="BF47" s="38"/>
      <c r="BG47" s="38"/>
    </row>
    <row r="48" spans="1:59" x14ac:dyDescent="0.35">
      <c r="A48" s="18">
        <v>1</v>
      </c>
      <c r="B48" s="22">
        <v>60125</v>
      </c>
      <c r="C48" s="23" t="s">
        <v>85</v>
      </c>
      <c r="D48" s="198"/>
      <c r="E48" s="198"/>
      <c r="F48" s="199"/>
      <c r="G48" s="200"/>
      <c r="H48" s="187"/>
      <c r="I48" s="25">
        <f>IF(J48&lt;=1,' FY 2022 CN Tables 1A-1E '!$C$5,' FY 2022 CN Tables 1A-1E '!$B$5)</f>
        <v>3795.42</v>
      </c>
      <c r="J48" s="26">
        <v>0.98240000000000005</v>
      </c>
      <c r="K48" s="25">
        <f>IF(J48&lt;=1,' FY 2022 CN Tables 1A-1E '!$C$6,' FY 2022 CN Tables 1A-1E '!$B$6)</f>
        <v>2326.23</v>
      </c>
      <c r="L48" s="25">
        <f t="shared" si="0"/>
        <v>6054.8506080000006</v>
      </c>
      <c r="M48" s="27">
        <f>' FY 2022 CN Tables 1A-1E '!$B$33</f>
        <v>472.59</v>
      </c>
      <c r="N48" s="24">
        <v>0.9879</v>
      </c>
      <c r="O48" s="25">
        <f t="shared" si="1"/>
        <v>466.87166099999996</v>
      </c>
      <c r="P48" s="28">
        <f t="shared" si="2"/>
        <v>6521.7222690000008</v>
      </c>
      <c r="Q48" s="39">
        <v>0</v>
      </c>
      <c r="R48" s="36">
        <v>0</v>
      </c>
      <c r="S48" s="36">
        <v>0</v>
      </c>
      <c r="T48" s="25">
        <f t="shared" si="10"/>
        <v>0</v>
      </c>
      <c r="U48" s="25">
        <f t="shared" si="11"/>
        <v>0</v>
      </c>
      <c r="V48" s="42">
        <f t="shared" si="9"/>
        <v>0</v>
      </c>
      <c r="W48" s="36">
        <v>1.01176</v>
      </c>
      <c r="X48" s="43">
        <f t="shared" si="12"/>
        <v>71.205043150080201</v>
      </c>
      <c r="Y48" s="36">
        <v>0.99080000000000001</v>
      </c>
      <c r="Z48" s="43">
        <f t="shared" si="13"/>
        <v>-55.704625593600213</v>
      </c>
      <c r="AA48" s="18" t="s">
        <v>41</v>
      </c>
      <c r="AB48" s="44">
        <f t="shared" si="6"/>
        <v>0</v>
      </c>
      <c r="AC48" s="162">
        <f t="shared" si="14"/>
        <v>0</v>
      </c>
    </row>
    <row r="49" spans="1:59" x14ac:dyDescent="0.35">
      <c r="A49" s="18">
        <v>1</v>
      </c>
      <c r="B49" s="22">
        <v>60126</v>
      </c>
      <c r="C49" s="23" t="s">
        <v>86</v>
      </c>
      <c r="D49" s="198"/>
      <c r="E49" s="198"/>
      <c r="F49" s="199"/>
      <c r="G49" s="200"/>
      <c r="H49" s="187"/>
      <c r="I49" s="25">
        <f>IF(J49&lt;=1,' FY 2022 CN Tables 1A-1E '!$C$5,' FY 2022 CN Tables 1A-1E '!$B$5)</f>
        <v>3795.42</v>
      </c>
      <c r="J49" s="26">
        <v>0.98240000000000005</v>
      </c>
      <c r="K49" s="25">
        <f>IF(J49&lt;=1,' FY 2022 CN Tables 1A-1E '!$C$6,' FY 2022 CN Tables 1A-1E '!$B$6)</f>
        <v>2326.23</v>
      </c>
      <c r="L49" s="25">
        <f t="shared" si="0"/>
        <v>6054.8506080000006</v>
      </c>
      <c r="M49" s="27">
        <f>' FY 2022 CN Tables 1A-1E '!$B$33</f>
        <v>472.59</v>
      </c>
      <c r="N49" s="24">
        <v>0.9879</v>
      </c>
      <c r="O49" s="25">
        <f t="shared" si="1"/>
        <v>466.87166099999996</v>
      </c>
      <c r="P49" s="28">
        <f t="shared" si="2"/>
        <v>6521.7222690000008</v>
      </c>
      <c r="Q49" s="39">
        <v>0</v>
      </c>
      <c r="R49" s="36">
        <v>0</v>
      </c>
      <c r="S49" s="36">
        <v>0</v>
      </c>
      <c r="T49" s="25">
        <f t="shared" si="10"/>
        <v>0</v>
      </c>
      <c r="U49" s="25">
        <f t="shared" si="11"/>
        <v>0</v>
      </c>
      <c r="V49" s="42">
        <f t="shared" si="9"/>
        <v>0</v>
      </c>
      <c r="W49" s="36">
        <v>1</v>
      </c>
      <c r="X49" s="43">
        <f t="shared" si="12"/>
        <v>0</v>
      </c>
      <c r="Y49" s="36">
        <v>0.99739999999999995</v>
      </c>
      <c r="Z49" s="43">
        <f t="shared" si="13"/>
        <v>-15.742611580800258</v>
      </c>
      <c r="AA49" s="18" t="s">
        <v>41</v>
      </c>
      <c r="AB49" s="44">
        <f t="shared" si="6"/>
        <v>0</v>
      </c>
      <c r="AC49" s="162">
        <f t="shared" si="14"/>
        <v>0</v>
      </c>
    </row>
    <row r="50" spans="1:59" x14ac:dyDescent="0.35">
      <c r="A50" s="18">
        <v>1</v>
      </c>
      <c r="B50" s="22">
        <v>60128</v>
      </c>
      <c r="C50" s="23" t="s">
        <v>87</v>
      </c>
      <c r="D50" s="198"/>
      <c r="E50" s="198"/>
      <c r="F50" s="199"/>
      <c r="G50" s="200"/>
      <c r="H50" s="187"/>
      <c r="I50" s="25">
        <f>IF(J50&lt;=1,' FY 2022 CN Tables 1A-1E '!$C$5,' FY 2022 CN Tables 1A-1E '!$B$5)</f>
        <v>4138.24</v>
      </c>
      <c r="J50" s="26">
        <v>1.0257000000000001</v>
      </c>
      <c r="K50" s="25">
        <f>IF(J50&lt;=1,' FY 2022 CN Tables 1A-1E '!$C$6,' FY 2022 CN Tables 1A-1E '!$B$6)</f>
        <v>1983.41</v>
      </c>
      <c r="L50" s="25">
        <f t="shared" si="0"/>
        <v>6228.0027680000003</v>
      </c>
      <c r="M50" s="27">
        <f>' FY 2022 CN Tables 1A-1E '!$B$33</f>
        <v>472.59</v>
      </c>
      <c r="N50" s="24">
        <v>1.0175000000000001</v>
      </c>
      <c r="O50" s="25">
        <f t="shared" si="1"/>
        <v>480.86032499999999</v>
      </c>
      <c r="P50" s="28">
        <f t="shared" si="2"/>
        <v>6708.8630929999999</v>
      </c>
      <c r="Q50" s="39">
        <v>0</v>
      </c>
      <c r="R50" s="36">
        <v>0</v>
      </c>
      <c r="S50" s="36">
        <v>0</v>
      </c>
      <c r="T50" s="25">
        <f t="shared" si="10"/>
        <v>0</v>
      </c>
      <c r="U50" s="25">
        <f t="shared" si="11"/>
        <v>0</v>
      </c>
      <c r="V50" s="42">
        <f t="shared" si="9"/>
        <v>0</v>
      </c>
      <c r="W50" s="36">
        <v>1.0074799999999999</v>
      </c>
      <c r="X50" s="43">
        <f t="shared" si="12"/>
        <v>46.585460704639445</v>
      </c>
      <c r="Y50" s="36">
        <v>0.999</v>
      </c>
      <c r="Z50" s="43">
        <f t="shared" si="13"/>
        <v>-6.2280027679998966</v>
      </c>
      <c r="AA50" s="18" t="s">
        <v>41</v>
      </c>
      <c r="AB50" s="44">
        <f t="shared" si="6"/>
        <v>0</v>
      </c>
      <c r="AC50" s="162">
        <f t="shared" si="14"/>
        <v>0</v>
      </c>
    </row>
    <row r="51" spans="1:59" x14ac:dyDescent="0.35">
      <c r="A51" s="18">
        <v>1</v>
      </c>
      <c r="B51" s="22">
        <v>60129</v>
      </c>
      <c r="C51" s="23" t="s">
        <v>88</v>
      </c>
      <c r="D51" s="198"/>
      <c r="E51" s="198"/>
      <c r="F51" s="199"/>
      <c r="G51" s="200"/>
      <c r="H51" s="189"/>
      <c r="I51" s="25">
        <f>IF(J51&lt;=1,' FY 2022 CN Tables 1A-1E '!$C$5,' FY 2022 CN Tables 1A-1E '!$B$5)</f>
        <v>3795.42</v>
      </c>
      <c r="J51" s="26">
        <v>0.98240000000000005</v>
      </c>
      <c r="K51" s="25">
        <f>IF(J51&lt;=1,' FY 2022 CN Tables 1A-1E '!$C$6,' FY 2022 CN Tables 1A-1E '!$B$6)</f>
        <v>2326.23</v>
      </c>
      <c r="L51" s="25">
        <f t="shared" si="0"/>
        <v>6054.8506080000006</v>
      </c>
      <c r="M51" s="27">
        <f>' FY 2022 CN Tables 1A-1E '!$B$33</f>
        <v>472.59</v>
      </c>
      <c r="N51" s="24">
        <v>0.9879</v>
      </c>
      <c r="O51" s="25">
        <f t="shared" si="1"/>
        <v>466.87166099999996</v>
      </c>
      <c r="P51" s="28">
        <f t="shared" si="2"/>
        <v>6521.7222690000008</v>
      </c>
      <c r="Q51" s="39">
        <v>0</v>
      </c>
      <c r="R51" s="36">
        <v>0</v>
      </c>
      <c r="S51" s="36">
        <v>0</v>
      </c>
      <c r="T51" s="25">
        <f t="shared" si="10"/>
        <v>0</v>
      </c>
      <c r="U51" s="25">
        <f t="shared" si="11"/>
        <v>0</v>
      </c>
      <c r="V51" s="42">
        <f t="shared" si="9"/>
        <v>0</v>
      </c>
      <c r="W51" s="36">
        <v>1</v>
      </c>
      <c r="X51" s="43">
        <f t="shared" si="12"/>
        <v>0</v>
      </c>
      <c r="Y51" s="36">
        <v>1</v>
      </c>
      <c r="Z51" s="43">
        <f t="shared" si="13"/>
        <v>0</v>
      </c>
      <c r="AA51" s="18" t="s">
        <v>41</v>
      </c>
      <c r="AB51" s="44">
        <f t="shared" si="6"/>
        <v>0</v>
      </c>
      <c r="AC51" s="162">
        <f t="shared" si="14"/>
        <v>0</v>
      </c>
    </row>
    <row r="52" spans="1:59" x14ac:dyDescent="0.35">
      <c r="A52" s="18">
        <v>1</v>
      </c>
      <c r="B52" s="22">
        <v>60130</v>
      </c>
      <c r="C52" s="23" t="s">
        <v>89</v>
      </c>
      <c r="D52" s="198"/>
      <c r="E52" s="198"/>
      <c r="F52" s="199"/>
      <c r="G52" s="200"/>
      <c r="H52" s="189"/>
      <c r="I52" s="25">
        <f>IF(J52&lt;=1,' FY 2022 CN Tables 1A-1E '!$C$5,' FY 2022 CN Tables 1A-1E '!$B$5)</f>
        <v>3795.42</v>
      </c>
      <c r="J52" s="26">
        <v>0.98240000000000005</v>
      </c>
      <c r="K52" s="25">
        <f>IF(J52&lt;=1,' FY 2022 CN Tables 1A-1E '!$C$6,' FY 2022 CN Tables 1A-1E '!$B$6)</f>
        <v>2326.23</v>
      </c>
      <c r="L52" s="25">
        <f t="shared" si="0"/>
        <v>6054.8506080000006</v>
      </c>
      <c r="M52" s="27">
        <f>' FY 2022 CN Tables 1A-1E '!$B$33</f>
        <v>472.59</v>
      </c>
      <c r="N52" s="24">
        <v>0.9879</v>
      </c>
      <c r="O52" s="25">
        <f t="shared" si="1"/>
        <v>466.87166099999996</v>
      </c>
      <c r="P52" s="28">
        <f t="shared" si="2"/>
        <v>6521.7222690000008</v>
      </c>
      <c r="Q52" s="39">
        <v>0</v>
      </c>
      <c r="R52" s="36">
        <v>0</v>
      </c>
      <c r="S52" s="36">
        <v>0</v>
      </c>
      <c r="T52" s="25">
        <f t="shared" si="10"/>
        <v>0</v>
      </c>
      <c r="U52" s="25">
        <f t="shared" si="11"/>
        <v>0</v>
      </c>
      <c r="V52" s="42">
        <f t="shared" si="9"/>
        <v>0</v>
      </c>
      <c r="W52" s="36">
        <v>1</v>
      </c>
      <c r="X52" s="43">
        <f t="shared" si="12"/>
        <v>0</v>
      </c>
      <c r="Y52" s="36">
        <v>1</v>
      </c>
      <c r="Z52" s="43">
        <f t="shared" si="13"/>
        <v>0</v>
      </c>
      <c r="AA52" s="18" t="s">
        <v>41</v>
      </c>
      <c r="AB52" s="44">
        <f t="shared" si="6"/>
        <v>0</v>
      </c>
      <c r="AC52" s="162">
        <f t="shared" si="14"/>
        <v>0</v>
      </c>
    </row>
    <row r="53" spans="1:59" x14ac:dyDescent="0.35">
      <c r="A53" s="18">
        <v>1</v>
      </c>
      <c r="B53" s="22">
        <v>60131</v>
      </c>
      <c r="C53" s="30" t="s">
        <v>90</v>
      </c>
      <c r="D53" s="198"/>
      <c r="E53" s="206"/>
      <c r="F53" s="199"/>
      <c r="G53" s="200"/>
      <c r="H53" s="190"/>
      <c r="I53" s="25">
        <f>IF(J53&lt;=1,' FY 2022 CN Tables 1A-1E '!$C$5,' FY 2022 CN Tables 1A-1E '!$B$5)</f>
        <v>3795.42</v>
      </c>
      <c r="J53" s="26">
        <v>0.9890000000000001</v>
      </c>
      <c r="K53" s="25">
        <f>IF(J53&lt;=1,' FY 2022 CN Tables 1A-1E '!$C$6,' FY 2022 CN Tables 1A-1E '!$B$6)</f>
        <v>2326.23</v>
      </c>
      <c r="L53" s="25">
        <f t="shared" si="0"/>
        <v>6079.900380000001</v>
      </c>
      <c r="M53" s="27">
        <f>' FY 2022 CN Tables 1A-1E '!$B$33</f>
        <v>472.59</v>
      </c>
      <c r="N53" s="24">
        <v>0.99250000000000005</v>
      </c>
      <c r="O53" s="25">
        <f t="shared" si="1"/>
        <v>469.04557499999999</v>
      </c>
      <c r="P53" s="28">
        <f t="shared" si="2"/>
        <v>6548.945955000001</v>
      </c>
      <c r="Q53" s="39">
        <v>0</v>
      </c>
      <c r="R53" s="36">
        <v>0</v>
      </c>
      <c r="S53" s="36">
        <v>0</v>
      </c>
      <c r="T53" s="25">
        <f t="shared" si="10"/>
        <v>0</v>
      </c>
      <c r="U53" s="25">
        <f t="shared" si="11"/>
        <v>0</v>
      </c>
      <c r="V53" s="42">
        <f t="shared" si="9"/>
        <v>0</v>
      </c>
      <c r="W53" s="36">
        <v>1</v>
      </c>
      <c r="X53" s="43">
        <f t="shared" si="12"/>
        <v>0</v>
      </c>
      <c r="Y53" s="36">
        <v>1</v>
      </c>
      <c r="Z53" s="43">
        <f t="shared" si="13"/>
        <v>0</v>
      </c>
      <c r="AA53" s="18" t="s">
        <v>41</v>
      </c>
      <c r="AB53" s="44">
        <f t="shared" si="6"/>
        <v>0</v>
      </c>
      <c r="AC53" s="162">
        <f t="shared" si="14"/>
        <v>0</v>
      </c>
    </row>
    <row r="54" spans="1:59" x14ac:dyDescent="0.35">
      <c r="A54" s="18">
        <v>1</v>
      </c>
      <c r="B54" s="22">
        <v>60132</v>
      </c>
      <c r="C54" s="30" t="s">
        <v>91</v>
      </c>
      <c r="D54" s="198"/>
      <c r="E54" s="206"/>
      <c r="F54" s="199"/>
      <c r="G54" s="200"/>
      <c r="H54" s="190"/>
      <c r="I54" s="25">
        <f>IF(J54&lt;=1,' FY 2022 CN Tables 1A-1E '!$C$5,' FY 2022 CN Tables 1A-1E '!$B$5)</f>
        <v>3795.42</v>
      </c>
      <c r="J54" s="26">
        <v>0.98240000000000005</v>
      </c>
      <c r="K54" s="25">
        <f>IF(J54&lt;=1,' FY 2022 CN Tables 1A-1E '!$C$6,' FY 2022 CN Tables 1A-1E '!$B$6)</f>
        <v>2326.23</v>
      </c>
      <c r="L54" s="25">
        <f t="shared" si="0"/>
        <v>6054.8506080000006</v>
      </c>
      <c r="M54" s="27">
        <f>' FY 2022 CN Tables 1A-1E '!$B$33</f>
        <v>472.59</v>
      </c>
      <c r="N54" s="24">
        <v>0.9879</v>
      </c>
      <c r="O54" s="25">
        <f t="shared" si="1"/>
        <v>466.87166099999996</v>
      </c>
      <c r="P54" s="28">
        <f t="shared" si="2"/>
        <v>6521.7222690000008</v>
      </c>
      <c r="Q54" s="39">
        <v>0</v>
      </c>
      <c r="R54" s="36">
        <v>0</v>
      </c>
      <c r="S54" s="36">
        <v>0</v>
      </c>
      <c r="T54" s="25">
        <f t="shared" si="10"/>
        <v>0</v>
      </c>
      <c r="U54" s="25">
        <f t="shared" si="11"/>
        <v>0</v>
      </c>
      <c r="V54" s="42">
        <f t="shared" si="9"/>
        <v>0</v>
      </c>
      <c r="W54" s="36">
        <v>1</v>
      </c>
      <c r="X54" s="43">
        <f t="shared" si="12"/>
        <v>0</v>
      </c>
      <c r="Y54" s="36">
        <v>1</v>
      </c>
      <c r="Z54" s="43">
        <f t="shared" si="13"/>
        <v>0</v>
      </c>
      <c r="AA54" s="18" t="s">
        <v>41</v>
      </c>
      <c r="AB54" s="44">
        <f t="shared" si="6"/>
        <v>0</v>
      </c>
      <c r="AC54" s="162">
        <f t="shared" si="14"/>
        <v>0</v>
      </c>
    </row>
    <row r="55" spans="1:59" x14ac:dyDescent="0.35">
      <c r="A55" s="18">
        <v>13</v>
      </c>
      <c r="B55" s="22">
        <v>61300</v>
      </c>
      <c r="C55" s="23" t="s">
        <v>92</v>
      </c>
      <c r="D55" s="198"/>
      <c r="E55" s="198"/>
      <c r="F55" s="199"/>
      <c r="G55" s="200"/>
      <c r="H55" s="187"/>
      <c r="I55" s="25">
        <f>IF(J55&lt;=1,' FY 2022 CN Tables 1A-1E '!$C$5,' FY 2022 CN Tables 1A-1E '!$B$5)</f>
        <v>3795.42</v>
      </c>
      <c r="J55" s="26">
        <v>1</v>
      </c>
      <c r="K55" s="25">
        <f>IF(J55&lt;=1,' FY 2022 CN Tables 1A-1E '!$C$6,' FY 2022 CN Tables 1A-1E '!$B$6)</f>
        <v>2326.23</v>
      </c>
      <c r="L55" s="25">
        <f t="shared" si="0"/>
        <v>6121.65</v>
      </c>
      <c r="M55" s="27">
        <f>' FY 2022 CN Tables 1A-1E '!$B$33</f>
        <v>472.59</v>
      </c>
      <c r="N55" s="24">
        <v>1</v>
      </c>
      <c r="O55" s="25">
        <f t="shared" si="1"/>
        <v>472.59</v>
      </c>
      <c r="P55" s="28">
        <f t="shared" si="2"/>
        <v>6594.24</v>
      </c>
      <c r="Q55" s="39">
        <v>0</v>
      </c>
      <c r="R55" s="36">
        <v>0</v>
      </c>
      <c r="S55" s="36">
        <v>0</v>
      </c>
      <c r="T55" s="25">
        <f t="shared" si="10"/>
        <v>0</v>
      </c>
      <c r="U55" s="25">
        <f t="shared" si="11"/>
        <v>0</v>
      </c>
      <c r="V55" s="150">
        <f t="shared" si="9"/>
        <v>0</v>
      </c>
      <c r="W55" s="36">
        <v>0</v>
      </c>
      <c r="X55" s="43">
        <f t="shared" si="12"/>
        <v>0</v>
      </c>
      <c r="Y55" s="36">
        <v>0</v>
      </c>
      <c r="Z55" s="43">
        <f t="shared" si="13"/>
        <v>0</v>
      </c>
      <c r="AA55" s="18" t="s">
        <v>93</v>
      </c>
      <c r="AB55" s="44">
        <f t="shared" si="6"/>
        <v>0</v>
      </c>
      <c r="AC55" s="143">
        <f t="shared" si="14"/>
        <v>0</v>
      </c>
    </row>
    <row r="56" spans="1:59" x14ac:dyDescent="0.35">
      <c r="A56" s="18">
        <v>13</v>
      </c>
      <c r="B56" s="22">
        <v>61301</v>
      </c>
      <c r="C56" s="23" t="s">
        <v>94</v>
      </c>
      <c r="D56" s="198"/>
      <c r="E56" s="198"/>
      <c r="F56" s="199"/>
      <c r="G56" s="200"/>
      <c r="H56" s="187"/>
      <c r="I56" s="25">
        <f>IF(J56&lt;=1,' FY 2022 CN Tables 1A-1E '!$C$5,' FY 2022 CN Tables 1A-1E '!$B$5)</f>
        <v>3795.42</v>
      </c>
      <c r="J56" s="26">
        <v>1</v>
      </c>
      <c r="K56" s="25">
        <f>IF(J56&lt;=1,' FY 2022 CN Tables 1A-1E '!$C$6,' FY 2022 CN Tables 1A-1E '!$B$6)</f>
        <v>2326.23</v>
      </c>
      <c r="L56" s="25">
        <f t="shared" si="0"/>
        <v>6121.65</v>
      </c>
      <c r="M56" s="27">
        <f>' FY 2022 CN Tables 1A-1E '!$B$33</f>
        <v>472.59</v>
      </c>
      <c r="N56" s="24">
        <v>1</v>
      </c>
      <c r="O56" s="25">
        <f t="shared" si="1"/>
        <v>472.59</v>
      </c>
      <c r="P56" s="28">
        <f t="shared" si="2"/>
        <v>6594.24</v>
      </c>
      <c r="Q56" s="39">
        <v>0</v>
      </c>
      <c r="R56" s="36">
        <v>0</v>
      </c>
      <c r="S56" s="36">
        <v>0</v>
      </c>
      <c r="T56" s="25">
        <f t="shared" si="10"/>
        <v>0</v>
      </c>
      <c r="U56" s="25">
        <f t="shared" si="11"/>
        <v>0</v>
      </c>
      <c r="V56" s="150">
        <f t="shared" si="9"/>
        <v>0</v>
      </c>
      <c r="W56" s="36">
        <v>0</v>
      </c>
      <c r="X56" s="43">
        <f t="shared" si="12"/>
        <v>0</v>
      </c>
      <c r="Y56" s="36">
        <v>0</v>
      </c>
      <c r="Z56" s="43">
        <f t="shared" si="13"/>
        <v>0</v>
      </c>
      <c r="AA56" s="18" t="s">
        <v>93</v>
      </c>
      <c r="AB56" s="44">
        <f t="shared" si="6"/>
        <v>0</v>
      </c>
      <c r="AC56" s="143">
        <f t="shared" si="14"/>
        <v>0</v>
      </c>
    </row>
    <row r="57" spans="1:59" x14ac:dyDescent="0.35">
      <c r="A57" s="18">
        <v>13</v>
      </c>
      <c r="B57" s="22">
        <v>61302</v>
      </c>
      <c r="C57" s="23" t="s">
        <v>95</v>
      </c>
      <c r="D57" s="198"/>
      <c r="E57" s="198"/>
      <c r="F57" s="199"/>
      <c r="G57" s="200"/>
      <c r="H57" s="187"/>
      <c r="I57" s="25">
        <f>IF(J57&lt;=1,' FY 2022 CN Tables 1A-1E '!$C$5,' FY 2022 CN Tables 1A-1E '!$B$5)</f>
        <v>3795.42</v>
      </c>
      <c r="J57" s="26">
        <v>1</v>
      </c>
      <c r="K57" s="25">
        <f>IF(J57&lt;=1,' FY 2022 CN Tables 1A-1E '!$C$6,' FY 2022 CN Tables 1A-1E '!$B$6)</f>
        <v>2326.23</v>
      </c>
      <c r="L57" s="25">
        <f t="shared" si="0"/>
        <v>6121.65</v>
      </c>
      <c r="M57" s="27">
        <f>' FY 2022 CN Tables 1A-1E '!$B$33</f>
        <v>472.59</v>
      </c>
      <c r="N57" s="24">
        <v>1</v>
      </c>
      <c r="O57" s="25">
        <f t="shared" si="1"/>
        <v>472.59</v>
      </c>
      <c r="P57" s="28">
        <f t="shared" si="2"/>
        <v>6594.24</v>
      </c>
      <c r="Q57" s="39">
        <v>0</v>
      </c>
      <c r="R57" s="36">
        <v>0</v>
      </c>
      <c r="S57" s="36">
        <v>0</v>
      </c>
      <c r="T57" s="25">
        <f t="shared" si="10"/>
        <v>0</v>
      </c>
      <c r="U57" s="25">
        <f t="shared" si="11"/>
        <v>0</v>
      </c>
      <c r="V57" s="42">
        <f t="shared" si="9"/>
        <v>0</v>
      </c>
      <c r="W57" s="36">
        <v>0</v>
      </c>
      <c r="X57" s="43">
        <f t="shared" si="12"/>
        <v>0</v>
      </c>
      <c r="Y57" s="36">
        <v>0</v>
      </c>
      <c r="Z57" s="43">
        <f t="shared" si="13"/>
        <v>0</v>
      </c>
      <c r="AA57" s="18" t="s">
        <v>93</v>
      </c>
      <c r="AB57" s="44">
        <f t="shared" si="6"/>
        <v>0</v>
      </c>
      <c r="AC57" s="162">
        <f t="shared" si="14"/>
        <v>0</v>
      </c>
    </row>
    <row r="58" spans="1:59" x14ac:dyDescent="0.35">
      <c r="A58" s="18">
        <v>13</v>
      </c>
      <c r="B58" s="22">
        <v>61303</v>
      </c>
      <c r="C58" s="23" t="s">
        <v>96</v>
      </c>
      <c r="D58" s="198"/>
      <c r="E58" s="198"/>
      <c r="F58" s="199"/>
      <c r="G58" s="200"/>
      <c r="H58" s="187"/>
      <c r="I58" s="25">
        <f>IF(J58&lt;=1,' FY 2022 CN Tables 1A-1E '!$C$5,' FY 2022 CN Tables 1A-1E '!$B$5)</f>
        <v>3795.42</v>
      </c>
      <c r="J58" s="26">
        <v>1</v>
      </c>
      <c r="K58" s="25">
        <f>IF(J58&lt;=1,' FY 2022 CN Tables 1A-1E '!$C$6,' FY 2022 CN Tables 1A-1E '!$B$6)</f>
        <v>2326.23</v>
      </c>
      <c r="L58" s="25">
        <f t="shared" si="0"/>
        <v>6121.65</v>
      </c>
      <c r="M58" s="27">
        <f>' FY 2022 CN Tables 1A-1E '!$B$33</f>
        <v>472.59</v>
      </c>
      <c r="N58" s="24">
        <v>1</v>
      </c>
      <c r="O58" s="25">
        <f t="shared" si="1"/>
        <v>472.59</v>
      </c>
      <c r="P58" s="28">
        <f t="shared" si="2"/>
        <v>6594.24</v>
      </c>
      <c r="Q58" s="39">
        <v>0</v>
      </c>
      <c r="R58" s="36">
        <v>0</v>
      </c>
      <c r="S58" s="36">
        <v>0</v>
      </c>
      <c r="T58" s="25">
        <f t="shared" si="10"/>
        <v>0</v>
      </c>
      <c r="U58" s="25">
        <f t="shared" si="11"/>
        <v>0</v>
      </c>
      <c r="V58" s="42">
        <f t="shared" si="9"/>
        <v>0</v>
      </c>
      <c r="W58" s="36">
        <v>0</v>
      </c>
      <c r="X58" s="43">
        <f t="shared" si="12"/>
        <v>0</v>
      </c>
      <c r="Y58" s="36">
        <v>0</v>
      </c>
      <c r="Z58" s="43">
        <f t="shared" si="13"/>
        <v>0</v>
      </c>
      <c r="AA58" s="18" t="s">
        <v>93</v>
      </c>
      <c r="AB58" s="44">
        <f t="shared" si="6"/>
        <v>0</v>
      </c>
      <c r="AC58" s="162">
        <f t="shared" si="14"/>
        <v>0</v>
      </c>
    </row>
    <row r="59" spans="1:59" x14ac:dyDescent="0.35">
      <c r="A59" s="18">
        <v>13</v>
      </c>
      <c r="B59" s="22">
        <v>61304</v>
      </c>
      <c r="C59" s="23" t="s">
        <v>97</v>
      </c>
      <c r="D59" s="207"/>
      <c r="E59" s="198"/>
      <c r="F59" s="199"/>
      <c r="G59" s="200"/>
      <c r="H59" s="187"/>
      <c r="I59" s="25">
        <f>IF(J59&lt;=1,' FY 2022 CN Tables 1A-1E '!$C$5,' FY 2022 CN Tables 1A-1E '!$B$5)</f>
        <v>3795.42</v>
      </c>
      <c r="J59" s="26">
        <v>1</v>
      </c>
      <c r="K59" s="25">
        <f>IF(J59&lt;=1,' FY 2022 CN Tables 1A-1E '!$C$6,' FY 2022 CN Tables 1A-1E '!$B$6)</f>
        <v>2326.23</v>
      </c>
      <c r="L59" s="25">
        <f t="shared" si="0"/>
        <v>6121.65</v>
      </c>
      <c r="M59" s="27">
        <f>' FY 2022 CN Tables 1A-1E '!$B$33</f>
        <v>472.59</v>
      </c>
      <c r="N59" s="24">
        <v>1</v>
      </c>
      <c r="O59" s="25">
        <f t="shared" si="1"/>
        <v>472.59</v>
      </c>
      <c r="P59" s="28">
        <f t="shared" si="2"/>
        <v>6594.24</v>
      </c>
      <c r="Q59" s="39">
        <v>0</v>
      </c>
      <c r="R59" s="36">
        <v>0</v>
      </c>
      <c r="S59" s="36">
        <v>0</v>
      </c>
      <c r="T59" s="25">
        <f t="shared" si="10"/>
        <v>0</v>
      </c>
      <c r="U59" s="25">
        <f t="shared" si="11"/>
        <v>0</v>
      </c>
      <c r="V59" s="42">
        <f t="shared" si="9"/>
        <v>0</v>
      </c>
      <c r="W59" s="36">
        <v>0</v>
      </c>
      <c r="X59" s="43">
        <f t="shared" si="12"/>
        <v>0</v>
      </c>
      <c r="Y59" s="36">
        <v>0</v>
      </c>
      <c r="Z59" s="43">
        <f t="shared" si="13"/>
        <v>0</v>
      </c>
      <c r="AA59" s="18" t="s">
        <v>93</v>
      </c>
      <c r="AB59" s="44">
        <f t="shared" si="6"/>
        <v>0</v>
      </c>
      <c r="AC59" s="162">
        <f t="shared" si="14"/>
        <v>0</v>
      </c>
    </row>
    <row r="60" spans="1:59" x14ac:dyDescent="0.35">
      <c r="A60" s="18">
        <v>13</v>
      </c>
      <c r="B60" s="22">
        <v>61305</v>
      </c>
      <c r="C60" s="23" t="s">
        <v>98</v>
      </c>
      <c r="D60" s="198"/>
      <c r="E60" s="198"/>
      <c r="F60" s="199"/>
      <c r="G60" s="200"/>
      <c r="H60" s="187"/>
      <c r="I60" s="25">
        <f>IF(J60&lt;=1,' FY 2022 CN Tables 1A-1E '!$C$5,' FY 2022 CN Tables 1A-1E '!$B$5)</f>
        <v>3795.42</v>
      </c>
      <c r="J60" s="26">
        <v>1</v>
      </c>
      <c r="K60" s="25">
        <f>IF(J60&lt;=1,' FY 2022 CN Tables 1A-1E '!$C$6,' FY 2022 CN Tables 1A-1E '!$B$6)</f>
        <v>2326.23</v>
      </c>
      <c r="L60" s="25">
        <f t="shared" si="0"/>
        <v>6121.65</v>
      </c>
      <c r="M60" s="27">
        <f>' FY 2022 CN Tables 1A-1E '!$B$33</f>
        <v>472.59</v>
      </c>
      <c r="N60" s="24">
        <v>1</v>
      </c>
      <c r="O60" s="25">
        <f t="shared" si="1"/>
        <v>472.59</v>
      </c>
      <c r="P60" s="28">
        <f t="shared" si="2"/>
        <v>6594.24</v>
      </c>
      <c r="Q60" s="39">
        <v>0</v>
      </c>
      <c r="R60" s="36">
        <v>0</v>
      </c>
      <c r="S60" s="36">
        <v>0</v>
      </c>
      <c r="T60" s="25">
        <f t="shared" si="10"/>
        <v>0</v>
      </c>
      <c r="U60" s="25">
        <f t="shared" si="11"/>
        <v>0</v>
      </c>
      <c r="V60" s="42">
        <f t="shared" si="9"/>
        <v>0</v>
      </c>
      <c r="W60" s="36">
        <v>0</v>
      </c>
      <c r="X60" s="43">
        <f t="shared" si="12"/>
        <v>0</v>
      </c>
      <c r="Y60" s="36">
        <v>0</v>
      </c>
      <c r="Z60" s="43">
        <f t="shared" si="13"/>
        <v>0</v>
      </c>
      <c r="AA60" s="18" t="s">
        <v>93</v>
      </c>
      <c r="AB60" s="44">
        <f t="shared" si="6"/>
        <v>0</v>
      </c>
      <c r="AC60" s="162">
        <f t="shared" si="14"/>
        <v>0</v>
      </c>
    </row>
    <row r="61" spans="1:59" x14ac:dyDescent="0.35">
      <c r="A61" s="18">
        <v>13</v>
      </c>
      <c r="B61" s="22">
        <v>61306</v>
      </c>
      <c r="C61" s="23" t="s">
        <v>99</v>
      </c>
      <c r="D61" s="198"/>
      <c r="E61" s="198"/>
      <c r="F61" s="199"/>
      <c r="G61" s="200"/>
      <c r="H61" s="187"/>
      <c r="I61" s="25">
        <f>IF(J61&lt;=1,' FY 2022 CN Tables 1A-1E '!$C$5,' FY 2022 CN Tables 1A-1E '!$B$5)</f>
        <v>3795.42</v>
      </c>
      <c r="J61" s="26">
        <v>1</v>
      </c>
      <c r="K61" s="25">
        <f>IF(J61&lt;=1,' FY 2022 CN Tables 1A-1E '!$C$6,' FY 2022 CN Tables 1A-1E '!$B$6)</f>
        <v>2326.23</v>
      </c>
      <c r="L61" s="25">
        <f t="shared" si="0"/>
        <v>6121.65</v>
      </c>
      <c r="M61" s="27">
        <f>' FY 2022 CN Tables 1A-1E '!$B$33</f>
        <v>472.59</v>
      </c>
      <c r="N61" s="24">
        <v>1</v>
      </c>
      <c r="O61" s="25">
        <f t="shared" si="1"/>
        <v>472.59</v>
      </c>
      <c r="P61" s="28">
        <f t="shared" si="2"/>
        <v>6594.24</v>
      </c>
      <c r="Q61" s="39">
        <v>0</v>
      </c>
      <c r="R61" s="36">
        <v>0</v>
      </c>
      <c r="S61" s="36">
        <v>0</v>
      </c>
      <c r="T61" s="25">
        <f t="shared" si="10"/>
        <v>0</v>
      </c>
      <c r="U61" s="25">
        <f t="shared" si="11"/>
        <v>0</v>
      </c>
      <c r="V61" s="42">
        <f t="shared" si="9"/>
        <v>0</v>
      </c>
      <c r="W61" s="36">
        <v>0</v>
      </c>
      <c r="X61" s="43">
        <f t="shared" si="12"/>
        <v>0</v>
      </c>
      <c r="Y61" s="36">
        <v>0</v>
      </c>
      <c r="Z61" s="43">
        <f t="shared" si="13"/>
        <v>0</v>
      </c>
      <c r="AA61" s="18" t="s">
        <v>93</v>
      </c>
      <c r="AB61" s="44">
        <f t="shared" si="6"/>
        <v>0</v>
      </c>
      <c r="AC61" s="162">
        <f t="shared" si="14"/>
        <v>0</v>
      </c>
    </row>
    <row r="62" spans="1:59" x14ac:dyDescent="0.35">
      <c r="A62" s="18">
        <v>13</v>
      </c>
      <c r="B62" s="22">
        <v>61307</v>
      </c>
      <c r="C62" s="23" t="s">
        <v>100</v>
      </c>
      <c r="D62" s="198"/>
      <c r="E62" s="198"/>
      <c r="F62" s="199"/>
      <c r="G62" s="200"/>
      <c r="H62" s="187"/>
      <c r="I62" s="25">
        <f>IF(J62&lt;=1,' FY 2022 CN Tables 1A-1E '!$C$5,' FY 2022 CN Tables 1A-1E '!$B$5)</f>
        <v>3795.42</v>
      </c>
      <c r="J62" s="26">
        <v>1</v>
      </c>
      <c r="K62" s="25">
        <f>IF(J62&lt;=1,' FY 2022 CN Tables 1A-1E '!$C$6,' FY 2022 CN Tables 1A-1E '!$B$6)</f>
        <v>2326.23</v>
      </c>
      <c r="L62" s="25">
        <f t="shared" si="0"/>
        <v>6121.65</v>
      </c>
      <c r="M62" s="27">
        <f>' FY 2022 CN Tables 1A-1E '!$B$33</f>
        <v>472.59</v>
      </c>
      <c r="N62" s="24">
        <v>1</v>
      </c>
      <c r="O62" s="25">
        <f t="shared" si="1"/>
        <v>472.59</v>
      </c>
      <c r="P62" s="28">
        <f t="shared" si="2"/>
        <v>6594.24</v>
      </c>
      <c r="Q62" s="39">
        <v>0</v>
      </c>
      <c r="R62" s="36">
        <v>0</v>
      </c>
      <c r="S62" s="36">
        <v>0</v>
      </c>
      <c r="T62" s="25">
        <f t="shared" si="10"/>
        <v>0</v>
      </c>
      <c r="U62" s="25">
        <f t="shared" si="11"/>
        <v>0</v>
      </c>
      <c r="V62" s="42">
        <f t="shared" si="9"/>
        <v>0</v>
      </c>
      <c r="W62" s="36">
        <v>0</v>
      </c>
      <c r="X62" s="43">
        <f t="shared" si="12"/>
        <v>0</v>
      </c>
      <c r="Y62" s="36">
        <v>0</v>
      </c>
      <c r="Z62" s="43">
        <f t="shared" si="13"/>
        <v>0</v>
      </c>
      <c r="AA62" s="18" t="s">
        <v>93</v>
      </c>
      <c r="AB62" s="44">
        <f t="shared" si="6"/>
        <v>0</v>
      </c>
      <c r="AC62" s="162">
        <f t="shared" si="14"/>
        <v>0</v>
      </c>
    </row>
    <row r="63" spans="1:59" s="14" customFormat="1" x14ac:dyDescent="0.35">
      <c r="A63" s="144">
        <v>13</v>
      </c>
      <c r="B63" s="145">
        <v>61308</v>
      </c>
      <c r="C63" s="146" t="s">
        <v>101</v>
      </c>
      <c r="D63" s="208"/>
      <c r="E63" s="208"/>
      <c r="F63" s="204"/>
      <c r="G63" s="205"/>
      <c r="H63" s="191"/>
      <c r="I63" s="25">
        <f>IF(J63&lt;=1,' FY 2022 CN Tables 1A-1E '!$C$5,' FY 2022 CN Tables 1A-1E '!$B$5)</f>
        <v>3795.42</v>
      </c>
      <c r="J63" s="26">
        <v>1</v>
      </c>
      <c r="K63" s="25">
        <f>IF(J63&lt;=1,' FY 2022 CN Tables 1A-1E '!$C$6,' FY 2022 CN Tables 1A-1E '!$B$6)</f>
        <v>2326.23</v>
      </c>
      <c r="L63" s="25">
        <f t="shared" si="0"/>
        <v>6121.65</v>
      </c>
      <c r="M63" s="27">
        <f>' FY 2022 CN Tables 1A-1E '!$B$33</f>
        <v>472.59</v>
      </c>
      <c r="N63" s="140">
        <v>1</v>
      </c>
      <c r="O63" s="141">
        <f t="shared" si="1"/>
        <v>472.59</v>
      </c>
      <c r="P63" s="148">
        <f t="shared" si="2"/>
        <v>6594.24</v>
      </c>
      <c r="Q63" s="149">
        <v>0</v>
      </c>
      <c r="R63" s="142">
        <v>0</v>
      </c>
      <c r="S63" s="142">
        <v>0</v>
      </c>
      <c r="T63" s="141">
        <f t="shared" si="10"/>
        <v>0</v>
      </c>
      <c r="U63" s="141">
        <f t="shared" si="11"/>
        <v>0</v>
      </c>
      <c r="V63" s="150">
        <f t="shared" si="9"/>
        <v>0</v>
      </c>
      <c r="W63" s="142">
        <v>0</v>
      </c>
      <c r="X63" s="143">
        <f t="shared" si="12"/>
        <v>0</v>
      </c>
      <c r="Y63" s="142">
        <v>0</v>
      </c>
      <c r="Z63" s="143">
        <f t="shared" si="13"/>
        <v>0</v>
      </c>
      <c r="AA63" s="144" t="s">
        <v>93</v>
      </c>
      <c r="AB63" s="151">
        <f t="shared" si="6"/>
        <v>0</v>
      </c>
      <c r="AC63" s="143">
        <f t="shared" si="14"/>
        <v>0</v>
      </c>
      <c r="AD63" s="38"/>
      <c r="AE63" s="38"/>
      <c r="AF63" s="38"/>
      <c r="AG63" s="38"/>
      <c r="AH63" s="38"/>
      <c r="AI63" s="38"/>
      <c r="AJ63" s="38"/>
      <c r="AK63" s="38"/>
      <c r="AL63" s="38"/>
      <c r="AM63" s="38"/>
      <c r="AN63" s="38"/>
      <c r="AO63" s="38"/>
      <c r="AP63" s="38"/>
      <c r="AQ63" s="38"/>
      <c r="AR63" s="38"/>
      <c r="AS63" s="38"/>
      <c r="AT63" s="38"/>
      <c r="AU63" s="38"/>
      <c r="AV63" s="38"/>
      <c r="AW63" s="38"/>
      <c r="AX63" s="38"/>
      <c r="AY63" s="38"/>
      <c r="AZ63" s="38"/>
      <c r="BA63" s="38"/>
      <c r="BB63" s="38"/>
      <c r="BC63" s="38"/>
      <c r="BD63" s="38"/>
      <c r="BE63" s="38"/>
      <c r="BF63" s="38"/>
      <c r="BG63" s="38"/>
    </row>
    <row r="64" spans="1:59" x14ac:dyDescent="0.35">
      <c r="A64" s="18">
        <v>13</v>
      </c>
      <c r="B64" s="22">
        <v>61309</v>
      </c>
      <c r="C64" s="23" t="s">
        <v>102</v>
      </c>
      <c r="D64" s="198"/>
      <c r="E64" s="198"/>
      <c r="F64" s="199"/>
      <c r="G64" s="200"/>
      <c r="H64" s="187"/>
      <c r="I64" s="25">
        <f>IF(J64&lt;=1,' FY 2022 CN Tables 1A-1E '!$C$5,' FY 2022 CN Tables 1A-1E '!$B$5)</f>
        <v>3795.42</v>
      </c>
      <c r="J64" s="26">
        <v>1</v>
      </c>
      <c r="K64" s="25">
        <f>IF(J64&lt;=1,' FY 2022 CN Tables 1A-1E '!$C$6,' FY 2022 CN Tables 1A-1E '!$B$6)</f>
        <v>2326.23</v>
      </c>
      <c r="L64" s="25">
        <f t="shared" si="0"/>
        <v>6121.65</v>
      </c>
      <c r="M64" s="27">
        <f>' FY 2022 CN Tables 1A-1E '!$B$33</f>
        <v>472.59</v>
      </c>
      <c r="N64" s="24">
        <v>1</v>
      </c>
      <c r="O64" s="25">
        <f t="shared" si="1"/>
        <v>472.59</v>
      </c>
      <c r="P64" s="28">
        <f t="shared" si="2"/>
        <v>6594.24</v>
      </c>
      <c r="Q64" s="39">
        <v>10.150765123456791</v>
      </c>
      <c r="R64" s="36">
        <v>0</v>
      </c>
      <c r="S64" s="36">
        <v>0</v>
      </c>
      <c r="T64" s="25">
        <f t="shared" si="10"/>
        <v>0</v>
      </c>
      <c r="U64" s="25">
        <f t="shared" si="11"/>
        <v>0</v>
      </c>
      <c r="V64" s="42">
        <f t="shared" si="9"/>
        <v>0</v>
      </c>
      <c r="W64" s="36">
        <v>0</v>
      </c>
      <c r="X64" s="43">
        <f t="shared" si="12"/>
        <v>0</v>
      </c>
      <c r="Y64" s="36">
        <v>0</v>
      </c>
      <c r="Z64" s="43">
        <f t="shared" si="13"/>
        <v>0</v>
      </c>
      <c r="AA64" s="18" t="s">
        <v>93</v>
      </c>
      <c r="AB64" s="44">
        <f t="shared" si="6"/>
        <v>0</v>
      </c>
      <c r="AC64" s="162">
        <f t="shared" si="14"/>
        <v>0</v>
      </c>
    </row>
    <row r="65" spans="1:29" x14ac:dyDescent="0.35">
      <c r="A65" s="18">
        <v>13</v>
      </c>
      <c r="B65" s="22">
        <v>61310</v>
      </c>
      <c r="C65" s="23" t="s">
        <v>103</v>
      </c>
      <c r="D65" s="198"/>
      <c r="E65" s="198"/>
      <c r="F65" s="199"/>
      <c r="G65" s="200"/>
      <c r="H65" s="187"/>
      <c r="I65" s="25">
        <f>IF(J65&lt;=1,' FY 2022 CN Tables 1A-1E '!$C$5,' FY 2022 CN Tables 1A-1E '!$B$5)</f>
        <v>3795.42</v>
      </c>
      <c r="J65" s="26">
        <v>1</v>
      </c>
      <c r="K65" s="25">
        <f>IF(J65&lt;=1,' FY 2022 CN Tables 1A-1E '!$C$6,' FY 2022 CN Tables 1A-1E '!$B$6)</f>
        <v>2326.23</v>
      </c>
      <c r="L65" s="25">
        <f t="shared" si="0"/>
        <v>6121.65</v>
      </c>
      <c r="M65" s="27">
        <f>' FY 2022 CN Tables 1A-1E '!$B$33</f>
        <v>472.59</v>
      </c>
      <c r="N65" s="24">
        <v>1</v>
      </c>
      <c r="O65" s="25">
        <f t="shared" si="1"/>
        <v>472.59</v>
      </c>
      <c r="P65" s="28">
        <f t="shared" si="2"/>
        <v>6594.24</v>
      </c>
      <c r="Q65" s="39">
        <v>0</v>
      </c>
      <c r="R65" s="36">
        <v>0</v>
      </c>
      <c r="S65" s="36">
        <v>0</v>
      </c>
      <c r="T65" s="25">
        <f t="shared" si="10"/>
        <v>0</v>
      </c>
      <c r="U65" s="25">
        <f t="shared" si="11"/>
        <v>0</v>
      </c>
      <c r="V65" s="42">
        <f t="shared" si="9"/>
        <v>0</v>
      </c>
      <c r="W65" s="36">
        <v>0</v>
      </c>
      <c r="X65" s="43">
        <f t="shared" si="12"/>
        <v>0</v>
      </c>
      <c r="Y65" s="36">
        <v>0</v>
      </c>
      <c r="Z65" s="43">
        <f t="shared" si="13"/>
        <v>0</v>
      </c>
      <c r="AA65" s="18" t="s">
        <v>93</v>
      </c>
      <c r="AB65" s="44">
        <f t="shared" si="6"/>
        <v>0</v>
      </c>
      <c r="AC65" s="162">
        <f t="shared" si="14"/>
        <v>0</v>
      </c>
    </row>
    <row r="66" spans="1:29" x14ac:dyDescent="0.35">
      <c r="A66" s="18">
        <v>13</v>
      </c>
      <c r="B66" s="22">
        <v>61311</v>
      </c>
      <c r="C66" s="23" t="s">
        <v>104</v>
      </c>
      <c r="D66" s="198"/>
      <c r="E66" s="198"/>
      <c r="F66" s="199"/>
      <c r="G66" s="200"/>
      <c r="H66" s="187"/>
      <c r="I66" s="25">
        <f>IF(J66&lt;=1,' FY 2022 CN Tables 1A-1E '!$C$5,' FY 2022 CN Tables 1A-1E '!$B$5)</f>
        <v>3795.42</v>
      </c>
      <c r="J66" s="26">
        <v>1</v>
      </c>
      <c r="K66" s="25">
        <f>IF(J66&lt;=1,' FY 2022 CN Tables 1A-1E '!$C$6,' FY 2022 CN Tables 1A-1E '!$B$6)</f>
        <v>2326.23</v>
      </c>
      <c r="L66" s="25">
        <f t="shared" si="0"/>
        <v>6121.65</v>
      </c>
      <c r="M66" s="27">
        <f>' FY 2022 CN Tables 1A-1E '!$B$33</f>
        <v>472.59</v>
      </c>
      <c r="N66" s="24">
        <v>1</v>
      </c>
      <c r="O66" s="25">
        <f t="shared" si="1"/>
        <v>472.59</v>
      </c>
      <c r="P66" s="28">
        <f t="shared" si="2"/>
        <v>6594.24</v>
      </c>
      <c r="Q66" s="39">
        <v>0</v>
      </c>
      <c r="R66" s="36">
        <v>0</v>
      </c>
      <c r="S66" s="36">
        <v>0</v>
      </c>
      <c r="T66" s="25">
        <f t="shared" si="10"/>
        <v>0</v>
      </c>
      <c r="U66" s="25">
        <f t="shared" si="11"/>
        <v>0</v>
      </c>
      <c r="V66" s="42">
        <f t="shared" si="9"/>
        <v>0</v>
      </c>
      <c r="W66" s="36">
        <v>0</v>
      </c>
      <c r="X66" s="43">
        <f t="shared" si="12"/>
        <v>0</v>
      </c>
      <c r="Y66" s="36">
        <v>0</v>
      </c>
      <c r="Z66" s="43">
        <f t="shared" si="13"/>
        <v>0</v>
      </c>
      <c r="AA66" s="18" t="s">
        <v>93</v>
      </c>
      <c r="AB66" s="44">
        <f t="shared" si="6"/>
        <v>0</v>
      </c>
      <c r="AC66" s="162">
        <f t="shared" si="14"/>
        <v>0</v>
      </c>
    </row>
    <row r="67" spans="1:29" x14ac:dyDescent="0.35">
      <c r="A67" s="18">
        <v>13</v>
      </c>
      <c r="B67" s="22">
        <v>61312</v>
      </c>
      <c r="C67" s="23" t="s">
        <v>105</v>
      </c>
      <c r="D67" s="198"/>
      <c r="E67" s="198"/>
      <c r="F67" s="199"/>
      <c r="G67" s="200"/>
      <c r="H67" s="187"/>
      <c r="I67" s="25">
        <f>IF(J67&lt;=1,' FY 2022 CN Tables 1A-1E '!$C$5,' FY 2022 CN Tables 1A-1E '!$B$5)</f>
        <v>3795.42</v>
      </c>
      <c r="J67" s="26">
        <v>1</v>
      </c>
      <c r="K67" s="25">
        <f>IF(J67&lt;=1,' FY 2022 CN Tables 1A-1E '!$C$6,' FY 2022 CN Tables 1A-1E '!$B$6)</f>
        <v>2326.23</v>
      </c>
      <c r="L67" s="25">
        <f t="shared" si="0"/>
        <v>6121.65</v>
      </c>
      <c r="M67" s="27">
        <f>' FY 2022 CN Tables 1A-1E '!$B$33</f>
        <v>472.59</v>
      </c>
      <c r="N67" s="24">
        <v>1</v>
      </c>
      <c r="O67" s="25">
        <f t="shared" si="1"/>
        <v>472.59</v>
      </c>
      <c r="P67" s="28">
        <f t="shared" si="2"/>
        <v>6594.24</v>
      </c>
      <c r="Q67" s="39">
        <v>0</v>
      </c>
      <c r="R67" s="36">
        <v>0</v>
      </c>
      <c r="S67" s="36">
        <v>0</v>
      </c>
      <c r="T67" s="25">
        <f t="shared" si="10"/>
        <v>0</v>
      </c>
      <c r="U67" s="25">
        <f t="shared" si="11"/>
        <v>0</v>
      </c>
      <c r="V67" s="42">
        <f t="shared" si="9"/>
        <v>0</v>
      </c>
      <c r="W67" s="36">
        <v>0</v>
      </c>
      <c r="X67" s="43">
        <f t="shared" si="12"/>
        <v>0</v>
      </c>
      <c r="Y67" s="36">
        <v>0</v>
      </c>
      <c r="Z67" s="43">
        <f t="shared" si="13"/>
        <v>0</v>
      </c>
      <c r="AA67" s="18" t="s">
        <v>93</v>
      </c>
      <c r="AB67" s="44">
        <f t="shared" si="6"/>
        <v>0</v>
      </c>
      <c r="AC67" s="162">
        <f t="shared" si="14"/>
        <v>0</v>
      </c>
    </row>
    <row r="68" spans="1:29" x14ac:dyDescent="0.35">
      <c r="A68" s="18">
        <v>13</v>
      </c>
      <c r="B68" s="22">
        <v>61313</v>
      </c>
      <c r="C68" s="23" t="s">
        <v>106</v>
      </c>
      <c r="D68" s="198"/>
      <c r="E68" s="198"/>
      <c r="F68" s="199"/>
      <c r="G68" s="200"/>
      <c r="H68" s="187"/>
      <c r="I68" s="25">
        <f>IF(J68&lt;=1,' FY 2022 CN Tables 1A-1E '!$C$5,' FY 2022 CN Tables 1A-1E '!$B$5)</f>
        <v>3795.42</v>
      </c>
      <c r="J68" s="26">
        <v>1</v>
      </c>
      <c r="K68" s="25">
        <f>IF(J68&lt;=1,' FY 2022 CN Tables 1A-1E '!$C$6,' FY 2022 CN Tables 1A-1E '!$B$6)</f>
        <v>2326.23</v>
      </c>
      <c r="L68" s="25">
        <f t="shared" si="0"/>
        <v>6121.65</v>
      </c>
      <c r="M68" s="27">
        <f>' FY 2022 CN Tables 1A-1E '!$B$33</f>
        <v>472.59</v>
      </c>
      <c r="N68" s="24">
        <v>1</v>
      </c>
      <c r="O68" s="25">
        <f t="shared" si="1"/>
        <v>472.59</v>
      </c>
      <c r="P68" s="28">
        <f t="shared" si="2"/>
        <v>6594.24</v>
      </c>
      <c r="Q68" s="39">
        <v>0</v>
      </c>
      <c r="R68" s="36">
        <v>0</v>
      </c>
      <c r="S68" s="36">
        <v>0</v>
      </c>
      <c r="T68" s="25">
        <f t="shared" si="10"/>
        <v>0</v>
      </c>
      <c r="U68" s="25">
        <f t="shared" si="11"/>
        <v>0</v>
      </c>
      <c r="V68" s="42">
        <f t="shared" si="9"/>
        <v>0</v>
      </c>
      <c r="W68" s="36">
        <v>0</v>
      </c>
      <c r="X68" s="43">
        <f t="shared" si="12"/>
        <v>0</v>
      </c>
      <c r="Y68" s="36">
        <v>0</v>
      </c>
      <c r="Z68" s="43">
        <f t="shared" si="13"/>
        <v>0</v>
      </c>
      <c r="AA68" s="18" t="s">
        <v>93</v>
      </c>
      <c r="AB68" s="44">
        <f t="shared" si="6"/>
        <v>0</v>
      </c>
      <c r="AC68" s="162">
        <f t="shared" si="14"/>
        <v>0</v>
      </c>
    </row>
    <row r="69" spans="1:29" x14ac:dyDescent="0.35">
      <c r="A69" s="18">
        <v>13</v>
      </c>
      <c r="B69" s="22">
        <v>61314</v>
      </c>
      <c r="C69" s="23" t="s">
        <v>107</v>
      </c>
      <c r="D69" s="198"/>
      <c r="E69" s="198"/>
      <c r="F69" s="199"/>
      <c r="G69" s="200"/>
      <c r="H69" s="187"/>
      <c r="I69" s="25">
        <f>IF(J69&lt;=1,' FY 2022 CN Tables 1A-1E '!$C$5,' FY 2022 CN Tables 1A-1E '!$B$5)</f>
        <v>3795.42</v>
      </c>
      <c r="J69" s="26">
        <v>1</v>
      </c>
      <c r="K69" s="25">
        <f>IF(J69&lt;=1,' FY 2022 CN Tables 1A-1E '!$C$6,' FY 2022 CN Tables 1A-1E '!$B$6)</f>
        <v>2326.23</v>
      </c>
      <c r="L69" s="25">
        <f t="shared" ref="L69:L88" si="15">IFERROR((I69*J69)+K69," ")</f>
        <v>6121.65</v>
      </c>
      <c r="M69" s="27">
        <f>' FY 2022 CN Tables 1A-1E '!$B$33</f>
        <v>472.59</v>
      </c>
      <c r="N69" s="24">
        <v>1</v>
      </c>
      <c r="O69" s="25">
        <f t="shared" ref="O69:O88" si="16">IFERROR(M69*N69," ")</f>
        <v>472.59</v>
      </c>
      <c r="P69" s="28">
        <f t="shared" ref="P69:P88" si="17">L69+O69</f>
        <v>6594.24</v>
      </c>
      <c r="Q69" s="39">
        <v>0</v>
      </c>
      <c r="R69" s="36">
        <v>0</v>
      </c>
      <c r="S69" s="36">
        <v>0</v>
      </c>
      <c r="T69" s="25">
        <f t="shared" ref="T69:T88" si="18">IFERROR((L69*R69),0)</f>
        <v>0</v>
      </c>
      <c r="U69" s="25">
        <f t="shared" ref="U69:U88" si="19">IFERROR(O69*S69,0)</f>
        <v>0</v>
      </c>
      <c r="V69" s="42">
        <f t="shared" si="9"/>
        <v>0</v>
      </c>
      <c r="W69" s="36">
        <v>0</v>
      </c>
      <c r="X69" s="43">
        <f t="shared" ref="X69:X88" si="20">IF(W69=0,0,IF(W69&lt;1,(-L69*(1-W69)),(L69*W69-L69)))</f>
        <v>0</v>
      </c>
      <c r="Y69" s="36">
        <v>0</v>
      </c>
      <c r="Z69" s="43">
        <f t="shared" ref="Z69:Z88" si="21">IF(Y69&lt;&gt;0,(L69-Y69*L69)*-1,0)</f>
        <v>0</v>
      </c>
      <c r="AA69" s="18" t="s">
        <v>93</v>
      </c>
      <c r="AB69" s="44">
        <f t="shared" ref="AB69:AB88" si="22">IF(AA69="Yes",-0.01,0)</f>
        <v>0</v>
      </c>
      <c r="AC69" s="162">
        <f t="shared" ref="AC69:AC88" si="23">P69*AB69</f>
        <v>0</v>
      </c>
    </row>
    <row r="70" spans="1:29" x14ac:dyDescent="0.35">
      <c r="A70" s="18">
        <v>13</v>
      </c>
      <c r="B70" s="22">
        <v>61315</v>
      </c>
      <c r="C70" s="23" t="s">
        <v>108</v>
      </c>
      <c r="D70" s="198"/>
      <c r="E70" s="198"/>
      <c r="F70" s="199"/>
      <c r="G70" s="200"/>
      <c r="H70" s="187"/>
      <c r="I70" s="25">
        <f>IF(J70&lt;=1,' FY 2022 CN Tables 1A-1E '!$C$5,' FY 2022 CN Tables 1A-1E '!$B$5)</f>
        <v>3795.42</v>
      </c>
      <c r="J70" s="26">
        <v>1</v>
      </c>
      <c r="K70" s="25">
        <f>IF(J70&lt;=1,' FY 2022 CN Tables 1A-1E '!$C$6,' FY 2022 CN Tables 1A-1E '!$B$6)</f>
        <v>2326.23</v>
      </c>
      <c r="L70" s="25">
        <f t="shared" si="15"/>
        <v>6121.65</v>
      </c>
      <c r="M70" s="27">
        <f>' FY 2022 CN Tables 1A-1E '!$B$33</f>
        <v>472.59</v>
      </c>
      <c r="N70" s="24">
        <v>1</v>
      </c>
      <c r="O70" s="25">
        <f t="shared" si="16"/>
        <v>472.59</v>
      </c>
      <c r="P70" s="28">
        <f t="shared" si="17"/>
        <v>6594.24</v>
      </c>
      <c r="Q70" s="39">
        <v>0</v>
      </c>
      <c r="R70" s="36">
        <v>0</v>
      </c>
      <c r="S70" s="36">
        <v>0</v>
      </c>
      <c r="T70" s="25">
        <f t="shared" si="18"/>
        <v>0</v>
      </c>
      <c r="U70" s="25">
        <f t="shared" si="19"/>
        <v>0</v>
      </c>
      <c r="V70" s="42">
        <f t="shared" ref="V70:V88" si="24">T70+U70</f>
        <v>0</v>
      </c>
      <c r="W70" s="36">
        <v>0</v>
      </c>
      <c r="X70" s="43">
        <f t="shared" si="20"/>
        <v>0</v>
      </c>
      <c r="Y70" s="36">
        <v>0</v>
      </c>
      <c r="Z70" s="43">
        <f t="shared" si="21"/>
        <v>0</v>
      </c>
      <c r="AA70" s="18" t="s">
        <v>93</v>
      </c>
      <c r="AB70" s="44">
        <f t="shared" si="22"/>
        <v>0</v>
      </c>
      <c r="AC70" s="162">
        <f t="shared" si="23"/>
        <v>0</v>
      </c>
    </row>
    <row r="71" spans="1:29" x14ac:dyDescent="0.35">
      <c r="A71" s="18">
        <v>13</v>
      </c>
      <c r="B71" s="22">
        <v>61316</v>
      </c>
      <c r="C71" s="23" t="s">
        <v>109</v>
      </c>
      <c r="D71" s="198"/>
      <c r="E71" s="198"/>
      <c r="F71" s="199"/>
      <c r="G71" s="200"/>
      <c r="H71" s="187"/>
      <c r="I71" s="25">
        <f>IF(J71&lt;=1,' FY 2022 CN Tables 1A-1E '!$C$5,' FY 2022 CN Tables 1A-1E '!$B$5)</f>
        <v>3795.42</v>
      </c>
      <c r="J71" s="26">
        <v>1</v>
      </c>
      <c r="K71" s="25">
        <f>IF(J71&lt;=1,' FY 2022 CN Tables 1A-1E '!$C$6,' FY 2022 CN Tables 1A-1E '!$B$6)</f>
        <v>2326.23</v>
      </c>
      <c r="L71" s="25">
        <f t="shared" si="15"/>
        <v>6121.65</v>
      </c>
      <c r="M71" s="27">
        <f>' FY 2022 CN Tables 1A-1E '!$B$33</f>
        <v>472.59</v>
      </c>
      <c r="N71" s="24">
        <v>1</v>
      </c>
      <c r="O71" s="25">
        <f t="shared" si="16"/>
        <v>472.59</v>
      </c>
      <c r="P71" s="28">
        <f t="shared" si="17"/>
        <v>6594.24</v>
      </c>
      <c r="Q71" s="39">
        <v>0</v>
      </c>
      <c r="R71" s="36">
        <v>0</v>
      </c>
      <c r="S71" s="36">
        <v>0</v>
      </c>
      <c r="T71" s="25">
        <f t="shared" si="18"/>
        <v>0</v>
      </c>
      <c r="U71" s="25">
        <f t="shared" si="19"/>
        <v>0</v>
      </c>
      <c r="V71" s="42">
        <f t="shared" si="24"/>
        <v>0</v>
      </c>
      <c r="W71" s="36">
        <v>0</v>
      </c>
      <c r="X71" s="43">
        <f t="shared" si="20"/>
        <v>0</v>
      </c>
      <c r="Y71" s="36">
        <v>0</v>
      </c>
      <c r="Z71" s="43">
        <f t="shared" si="21"/>
        <v>0</v>
      </c>
      <c r="AA71" s="18" t="s">
        <v>93</v>
      </c>
      <c r="AB71" s="44">
        <f t="shared" si="22"/>
        <v>0</v>
      </c>
      <c r="AC71" s="162">
        <f t="shared" si="23"/>
        <v>0</v>
      </c>
    </row>
    <row r="72" spans="1:29" x14ac:dyDescent="0.35">
      <c r="A72" s="18">
        <v>13</v>
      </c>
      <c r="B72" s="22">
        <v>61317</v>
      </c>
      <c r="C72" s="23" t="s">
        <v>110</v>
      </c>
      <c r="D72" s="198"/>
      <c r="E72" s="198"/>
      <c r="F72" s="199"/>
      <c r="G72" s="200"/>
      <c r="H72" s="187"/>
      <c r="I72" s="25">
        <f>IF(J72&lt;=1,' FY 2022 CN Tables 1A-1E '!$C$5,' FY 2022 CN Tables 1A-1E '!$B$5)</f>
        <v>3795.42</v>
      </c>
      <c r="J72" s="26">
        <v>1</v>
      </c>
      <c r="K72" s="25">
        <f>IF(J72&lt;=1,' FY 2022 CN Tables 1A-1E '!$C$6,' FY 2022 CN Tables 1A-1E '!$B$6)</f>
        <v>2326.23</v>
      </c>
      <c r="L72" s="25">
        <f t="shared" si="15"/>
        <v>6121.65</v>
      </c>
      <c r="M72" s="27">
        <f>' FY 2022 CN Tables 1A-1E '!$B$33</f>
        <v>472.59</v>
      </c>
      <c r="N72" s="24">
        <v>1</v>
      </c>
      <c r="O72" s="25">
        <f t="shared" si="16"/>
        <v>472.59</v>
      </c>
      <c r="P72" s="28">
        <f t="shared" si="17"/>
        <v>6594.24</v>
      </c>
      <c r="Q72" s="39">
        <v>0</v>
      </c>
      <c r="R72" s="36">
        <v>0</v>
      </c>
      <c r="S72" s="36">
        <v>0</v>
      </c>
      <c r="T72" s="25">
        <f t="shared" si="18"/>
        <v>0</v>
      </c>
      <c r="U72" s="25">
        <f t="shared" si="19"/>
        <v>0</v>
      </c>
      <c r="V72" s="42">
        <f t="shared" si="24"/>
        <v>0</v>
      </c>
      <c r="W72" s="36">
        <v>0</v>
      </c>
      <c r="X72" s="43">
        <f t="shared" si="20"/>
        <v>0</v>
      </c>
      <c r="Y72" s="36">
        <v>0</v>
      </c>
      <c r="Z72" s="43">
        <f t="shared" si="21"/>
        <v>0</v>
      </c>
      <c r="AA72" s="18" t="s">
        <v>93</v>
      </c>
      <c r="AB72" s="44">
        <f t="shared" si="22"/>
        <v>0</v>
      </c>
      <c r="AC72" s="162">
        <f t="shared" si="23"/>
        <v>0</v>
      </c>
    </row>
    <row r="73" spans="1:29" x14ac:dyDescent="0.35">
      <c r="A73" s="18">
        <v>13</v>
      </c>
      <c r="B73" s="22">
        <v>61318</v>
      </c>
      <c r="C73" s="23" t="s">
        <v>111</v>
      </c>
      <c r="D73" s="198"/>
      <c r="E73" s="198"/>
      <c r="F73" s="199"/>
      <c r="G73" s="200"/>
      <c r="H73" s="187"/>
      <c r="I73" s="25">
        <f>IF(J73&lt;=1,' FY 2022 CN Tables 1A-1E '!$C$5,' FY 2022 CN Tables 1A-1E '!$B$5)</f>
        <v>3795.42</v>
      </c>
      <c r="J73" s="26">
        <v>1</v>
      </c>
      <c r="K73" s="25">
        <f>IF(J73&lt;=1,' FY 2022 CN Tables 1A-1E '!$C$6,' FY 2022 CN Tables 1A-1E '!$B$6)</f>
        <v>2326.23</v>
      </c>
      <c r="L73" s="25">
        <f t="shared" si="15"/>
        <v>6121.65</v>
      </c>
      <c r="M73" s="27">
        <f>' FY 2022 CN Tables 1A-1E '!$B$33</f>
        <v>472.59</v>
      </c>
      <c r="N73" s="24">
        <v>1</v>
      </c>
      <c r="O73" s="25">
        <f t="shared" si="16"/>
        <v>472.59</v>
      </c>
      <c r="P73" s="28">
        <f t="shared" si="17"/>
        <v>6594.24</v>
      </c>
      <c r="Q73" s="39">
        <v>0</v>
      </c>
      <c r="R73" s="36">
        <v>0</v>
      </c>
      <c r="S73" s="36">
        <v>0</v>
      </c>
      <c r="T73" s="25">
        <f t="shared" si="18"/>
        <v>0</v>
      </c>
      <c r="U73" s="25">
        <f t="shared" si="19"/>
        <v>0</v>
      </c>
      <c r="V73" s="42">
        <f t="shared" si="24"/>
        <v>0</v>
      </c>
      <c r="W73" s="36">
        <v>0</v>
      </c>
      <c r="X73" s="43">
        <f t="shared" si="20"/>
        <v>0</v>
      </c>
      <c r="Y73" s="36">
        <v>0</v>
      </c>
      <c r="Z73" s="43">
        <f t="shared" si="21"/>
        <v>0</v>
      </c>
      <c r="AA73" s="18" t="s">
        <v>93</v>
      </c>
      <c r="AB73" s="44">
        <f t="shared" si="22"/>
        <v>0</v>
      </c>
      <c r="AC73" s="162">
        <f t="shared" si="23"/>
        <v>0</v>
      </c>
    </row>
    <row r="74" spans="1:29" x14ac:dyDescent="0.35">
      <c r="A74" s="18">
        <v>13</v>
      </c>
      <c r="B74" s="22">
        <v>61319</v>
      </c>
      <c r="C74" s="23" t="s">
        <v>112</v>
      </c>
      <c r="D74" s="198"/>
      <c r="E74" s="198"/>
      <c r="F74" s="199"/>
      <c r="G74" s="200"/>
      <c r="H74" s="187"/>
      <c r="I74" s="25">
        <f>IF(J74&lt;=1,' FY 2022 CN Tables 1A-1E '!$C$5,' FY 2022 CN Tables 1A-1E '!$B$5)</f>
        <v>3795.42</v>
      </c>
      <c r="J74" s="26">
        <v>1</v>
      </c>
      <c r="K74" s="25">
        <f>IF(J74&lt;=1,' FY 2022 CN Tables 1A-1E '!$C$6,' FY 2022 CN Tables 1A-1E '!$B$6)</f>
        <v>2326.23</v>
      </c>
      <c r="L74" s="25">
        <f t="shared" si="15"/>
        <v>6121.65</v>
      </c>
      <c r="M74" s="27">
        <f>' FY 2022 CN Tables 1A-1E '!$B$33</f>
        <v>472.59</v>
      </c>
      <c r="N74" s="24">
        <v>1</v>
      </c>
      <c r="O74" s="25">
        <f t="shared" si="16"/>
        <v>472.59</v>
      </c>
      <c r="P74" s="28">
        <f t="shared" si="17"/>
        <v>6594.24</v>
      </c>
      <c r="Q74" s="39">
        <v>0</v>
      </c>
      <c r="R74" s="36">
        <v>0</v>
      </c>
      <c r="S74" s="36">
        <v>0</v>
      </c>
      <c r="T74" s="25">
        <f t="shared" si="18"/>
        <v>0</v>
      </c>
      <c r="U74" s="25">
        <f t="shared" si="19"/>
        <v>0</v>
      </c>
      <c r="V74" s="42">
        <f t="shared" si="24"/>
        <v>0</v>
      </c>
      <c r="W74" s="36">
        <v>0</v>
      </c>
      <c r="X74" s="43">
        <f t="shared" si="20"/>
        <v>0</v>
      </c>
      <c r="Y74" s="36">
        <v>0</v>
      </c>
      <c r="Z74" s="43">
        <f t="shared" si="21"/>
        <v>0</v>
      </c>
      <c r="AA74" s="18" t="s">
        <v>93</v>
      </c>
      <c r="AB74" s="44">
        <f t="shared" si="22"/>
        <v>0</v>
      </c>
      <c r="AC74" s="162">
        <f t="shared" si="23"/>
        <v>0</v>
      </c>
    </row>
    <row r="75" spans="1:29" x14ac:dyDescent="0.35">
      <c r="A75" s="18">
        <v>13</v>
      </c>
      <c r="B75" s="22">
        <v>61320</v>
      </c>
      <c r="C75" s="23" t="s">
        <v>113</v>
      </c>
      <c r="D75" s="198"/>
      <c r="E75" s="198"/>
      <c r="F75" s="199"/>
      <c r="G75" s="200"/>
      <c r="H75" s="187"/>
      <c r="I75" s="25">
        <f>IF(J75&lt;=1,' FY 2022 CN Tables 1A-1E '!$C$5,' FY 2022 CN Tables 1A-1E '!$B$5)</f>
        <v>3795.42</v>
      </c>
      <c r="J75" s="26">
        <v>1</v>
      </c>
      <c r="K75" s="25">
        <f>IF(J75&lt;=1,' FY 2022 CN Tables 1A-1E '!$C$6,' FY 2022 CN Tables 1A-1E '!$B$6)</f>
        <v>2326.23</v>
      </c>
      <c r="L75" s="25">
        <f t="shared" si="15"/>
        <v>6121.65</v>
      </c>
      <c r="M75" s="27">
        <f>' FY 2022 CN Tables 1A-1E '!$B$33</f>
        <v>472.59</v>
      </c>
      <c r="N75" s="24">
        <v>1</v>
      </c>
      <c r="O75" s="25">
        <f t="shared" si="16"/>
        <v>472.59</v>
      </c>
      <c r="P75" s="28">
        <f t="shared" si="17"/>
        <v>6594.24</v>
      </c>
      <c r="Q75" s="39">
        <v>0</v>
      </c>
      <c r="R75" s="36">
        <v>0</v>
      </c>
      <c r="S75" s="36">
        <v>0</v>
      </c>
      <c r="T75" s="25">
        <f t="shared" si="18"/>
        <v>0</v>
      </c>
      <c r="U75" s="25">
        <f t="shared" si="19"/>
        <v>0</v>
      </c>
      <c r="V75" s="42">
        <f t="shared" si="24"/>
        <v>0</v>
      </c>
      <c r="W75" s="36">
        <v>0</v>
      </c>
      <c r="X75" s="43">
        <f t="shared" si="20"/>
        <v>0</v>
      </c>
      <c r="Y75" s="36">
        <v>0</v>
      </c>
      <c r="Z75" s="43">
        <f t="shared" si="21"/>
        <v>0</v>
      </c>
      <c r="AA75" s="18" t="s">
        <v>93</v>
      </c>
      <c r="AB75" s="44">
        <f t="shared" si="22"/>
        <v>0</v>
      </c>
      <c r="AC75" s="162">
        <f t="shared" si="23"/>
        <v>0</v>
      </c>
    </row>
    <row r="76" spans="1:29" x14ac:dyDescent="0.35">
      <c r="A76" s="18">
        <v>13</v>
      </c>
      <c r="B76" s="22">
        <v>61321</v>
      </c>
      <c r="C76" s="23" t="s">
        <v>114</v>
      </c>
      <c r="D76" s="198"/>
      <c r="E76" s="198"/>
      <c r="F76" s="199"/>
      <c r="G76" s="200"/>
      <c r="H76" s="187"/>
      <c r="I76" s="25">
        <f>IF(J76&lt;=1,' FY 2022 CN Tables 1A-1E '!$C$5,' FY 2022 CN Tables 1A-1E '!$B$5)</f>
        <v>3795.42</v>
      </c>
      <c r="J76" s="26">
        <v>1</v>
      </c>
      <c r="K76" s="25">
        <f>IF(J76&lt;=1,' FY 2022 CN Tables 1A-1E '!$C$6,' FY 2022 CN Tables 1A-1E '!$B$6)</f>
        <v>2326.23</v>
      </c>
      <c r="L76" s="25">
        <f t="shared" si="15"/>
        <v>6121.65</v>
      </c>
      <c r="M76" s="27">
        <f>' FY 2022 CN Tables 1A-1E '!$B$33</f>
        <v>472.59</v>
      </c>
      <c r="N76" s="24">
        <v>1</v>
      </c>
      <c r="O76" s="25">
        <f t="shared" si="16"/>
        <v>472.59</v>
      </c>
      <c r="P76" s="28">
        <f t="shared" si="17"/>
        <v>6594.24</v>
      </c>
      <c r="Q76" s="39">
        <v>0</v>
      </c>
      <c r="R76" s="36">
        <v>0</v>
      </c>
      <c r="S76" s="36">
        <v>0</v>
      </c>
      <c r="T76" s="25">
        <f t="shared" si="18"/>
        <v>0</v>
      </c>
      <c r="U76" s="25">
        <f t="shared" si="19"/>
        <v>0</v>
      </c>
      <c r="V76" s="42">
        <f t="shared" si="24"/>
        <v>0</v>
      </c>
      <c r="W76" s="36">
        <v>0</v>
      </c>
      <c r="X76" s="43">
        <f t="shared" si="20"/>
        <v>0</v>
      </c>
      <c r="Y76" s="36">
        <v>0</v>
      </c>
      <c r="Z76" s="43">
        <f t="shared" si="21"/>
        <v>0</v>
      </c>
      <c r="AA76" s="18" t="s">
        <v>93</v>
      </c>
      <c r="AB76" s="44">
        <f t="shared" si="22"/>
        <v>0</v>
      </c>
      <c r="AC76" s="162">
        <f t="shared" si="23"/>
        <v>0</v>
      </c>
    </row>
    <row r="77" spans="1:29" x14ac:dyDescent="0.35">
      <c r="A77" s="18">
        <v>13</v>
      </c>
      <c r="B77" s="22">
        <v>61322</v>
      </c>
      <c r="C77" s="23" t="s">
        <v>115</v>
      </c>
      <c r="D77" s="198"/>
      <c r="E77" s="198"/>
      <c r="F77" s="199"/>
      <c r="G77" s="200"/>
      <c r="H77" s="187"/>
      <c r="I77" s="25">
        <f>IF(J77&lt;=1,' FY 2022 CN Tables 1A-1E '!$C$5,' FY 2022 CN Tables 1A-1E '!$B$5)</f>
        <v>3795.42</v>
      </c>
      <c r="J77" s="26">
        <v>1</v>
      </c>
      <c r="K77" s="25">
        <f>IF(J77&lt;=1,' FY 2022 CN Tables 1A-1E '!$C$6,' FY 2022 CN Tables 1A-1E '!$B$6)</f>
        <v>2326.23</v>
      </c>
      <c r="L77" s="25">
        <f t="shared" si="15"/>
        <v>6121.65</v>
      </c>
      <c r="M77" s="27">
        <f>' FY 2022 CN Tables 1A-1E '!$B$33</f>
        <v>472.59</v>
      </c>
      <c r="N77" s="24">
        <v>1</v>
      </c>
      <c r="O77" s="25">
        <f t="shared" si="16"/>
        <v>472.59</v>
      </c>
      <c r="P77" s="28">
        <f t="shared" si="17"/>
        <v>6594.24</v>
      </c>
      <c r="Q77" s="39">
        <v>0</v>
      </c>
      <c r="R77" s="36">
        <v>0</v>
      </c>
      <c r="S77" s="36">
        <v>0</v>
      </c>
      <c r="T77" s="25">
        <f t="shared" si="18"/>
        <v>0</v>
      </c>
      <c r="U77" s="25">
        <f t="shared" si="19"/>
        <v>0</v>
      </c>
      <c r="V77" s="42">
        <f t="shared" si="24"/>
        <v>0</v>
      </c>
      <c r="W77" s="36">
        <v>0</v>
      </c>
      <c r="X77" s="43">
        <f t="shared" si="20"/>
        <v>0</v>
      </c>
      <c r="Y77" s="36">
        <v>0</v>
      </c>
      <c r="Z77" s="43">
        <f t="shared" si="21"/>
        <v>0</v>
      </c>
      <c r="AA77" s="18" t="s">
        <v>93</v>
      </c>
      <c r="AB77" s="44">
        <f t="shared" si="22"/>
        <v>0</v>
      </c>
      <c r="AC77" s="162">
        <f t="shared" si="23"/>
        <v>0</v>
      </c>
    </row>
    <row r="78" spans="1:29" x14ac:dyDescent="0.35">
      <c r="A78" s="18">
        <v>13</v>
      </c>
      <c r="B78" s="22">
        <v>61323</v>
      </c>
      <c r="C78" s="23" t="s">
        <v>116</v>
      </c>
      <c r="D78" s="198"/>
      <c r="E78" s="198"/>
      <c r="F78" s="199"/>
      <c r="G78" s="200"/>
      <c r="H78" s="187"/>
      <c r="I78" s="25">
        <f>IF(J78&lt;=1,' FY 2022 CN Tables 1A-1E '!$C$5,' FY 2022 CN Tables 1A-1E '!$B$5)</f>
        <v>3795.42</v>
      </c>
      <c r="J78" s="26">
        <v>1</v>
      </c>
      <c r="K78" s="25">
        <f>IF(J78&lt;=1,' FY 2022 CN Tables 1A-1E '!$C$6,' FY 2022 CN Tables 1A-1E '!$B$6)</f>
        <v>2326.23</v>
      </c>
      <c r="L78" s="25">
        <f t="shared" si="15"/>
        <v>6121.65</v>
      </c>
      <c r="M78" s="27">
        <f>' FY 2022 CN Tables 1A-1E '!$B$33</f>
        <v>472.59</v>
      </c>
      <c r="N78" s="24">
        <v>1</v>
      </c>
      <c r="O78" s="25">
        <f t="shared" si="16"/>
        <v>472.59</v>
      </c>
      <c r="P78" s="28">
        <f t="shared" si="17"/>
        <v>6594.24</v>
      </c>
      <c r="Q78" s="39">
        <v>0</v>
      </c>
      <c r="R78" s="36">
        <v>0</v>
      </c>
      <c r="S78" s="36">
        <v>0</v>
      </c>
      <c r="T78" s="25">
        <f t="shared" si="18"/>
        <v>0</v>
      </c>
      <c r="U78" s="25">
        <f t="shared" si="19"/>
        <v>0</v>
      </c>
      <c r="V78" s="42">
        <f t="shared" si="24"/>
        <v>0</v>
      </c>
      <c r="W78" s="36">
        <v>0</v>
      </c>
      <c r="X78" s="43">
        <f t="shared" si="20"/>
        <v>0</v>
      </c>
      <c r="Y78" s="36">
        <v>0</v>
      </c>
      <c r="Z78" s="43">
        <f t="shared" si="21"/>
        <v>0</v>
      </c>
      <c r="AA78" s="18" t="s">
        <v>93</v>
      </c>
      <c r="AB78" s="44">
        <f t="shared" si="22"/>
        <v>0</v>
      </c>
      <c r="AC78" s="162">
        <f t="shared" si="23"/>
        <v>0</v>
      </c>
    </row>
    <row r="79" spans="1:29" x14ac:dyDescent="0.35">
      <c r="A79" s="18">
        <v>13</v>
      </c>
      <c r="B79" s="22">
        <v>61324</v>
      </c>
      <c r="C79" s="23" t="s">
        <v>117</v>
      </c>
      <c r="D79" s="198"/>
      <c r="E79" s="198"/>
      <c r="F79" s="199"/>
      <c r="G79" s="200"/>
      <c r="H79" s="187"/>
      <c r="I79" s="25">
        <f>IF(J79&lt;=1,' FY 2022 CN Tables 1A-1E '!$C$5,' FY 2022 CN Tables 1A-1E '!$B$5)</f>
        <v>3795.42</v>
      </c>
      <c r="J79" s="26">
        <v>1</v>
      </c>
      <c r="K79" s="25">
        <f>IF(J79&lt;=1,' FY 2022 CN Tables 1A-1E '!$C$6,' FY 2022 CN Tables 1A-1E '!$B$6)</f>
        <v>2326.23</v>
      </c>
      <c r="L79" s="25">
        <f t="shared" si="15"/>
        <v>6121.65</v>
      </c>
      <c r="M79" s="27">
        <f>' FY 2022 CN Tables 1A-1E '!$B$33</f>
        <v>472.59</v>
      </c>
      <c r="N79" s="24">
        <v>1</v>
      </c>
      <c r="O79" s="25">
        <f t="shared" si="16"/>
        <v>472.59</v>
      </c>
      <c r="P79" s="28">
        <f t="shared" si="17"/>
        <v>6594.24</v>
      </c>
      <c r="Q79" s="39">
        <v>0</v>
      </c>
      <c r="R79" s="36">
        <v>0</v>
      </c>
      <c r="S79" s="36">
        <v>0</v>
      </c>
      <c r="T79" s="25">
        <f t="shared" si="18"/>
        <v>0</v>
      </c>
      <c r="U79" s="25">
        <f t="shared" si="19"/>
        <v>0</v>
      </c>
      <c r="V79" s="42">
        <f t="shared" si="24"/>
        <v>0</v>
      </c>
      <c r="W79" s="36">
        <v>0</v>
      </c>
      <c r="X79" s="43">
        <f t="shared" si="20"/>
        <v>0</v>
      </c>
      <c r="Y79" s="36">
        <v>0</v>
      </c>
      <c r="Z79" s="43">
        <f t="shared" si="21"/>
        <v>0</v>
      </c>
      <c r="AA79" s="18" t="s">
        <v>93</v>
      </c>
      <c r="AB79" s="44">
        <f t="shared" si="22"/>
        <v>0</v>
      </c>
      <c r="AC79" s="162">
        <f t="shared" si="23"/>
        <v>0</v>
      </c>
    </row>
    <row r="80" spans="1:29" x14ac:dyDescent="0.35">
      <c r="A80" s="18">
        <v>13</v>
      </c>
      <c r="B80" s="22">
        <v>61325</v>
      </c>
      <c r="C80" s="23" t="s">
        <v>118</v>
      </c>
      <c r="D80" s="198"/>
      <c r="E80" s="198"/>
      <c r="F80" s="199"/>
      <c r="G80" s="200"/>
      <c r="H80" s="187"/>
      <c r="I80" s="25">
        <f>IF(J80&lt;=1,' FY 2022 CN Tables 1A-1E '!$C$5,' FY 2022 CN Tables 1A-1E '!$B$5)</f>
        <v>3795.42</v>
      </c>
      <c r="J80" s="26">
        <v>1</v>
      </c>
      <c r="K80" s="25">
        <f>IF(J80&lt;=1,' FY 2022 CN Tables 1A-1E '!$C$6,' FY 2022 CN Tables 1A-1E '!$B$6)</f>
        <v>2326.23</v>
      </c>
      <c r="L80" s="25">
        <f t="shared" si="15"/>
        <v>6121.65</v>
      </c>
      <c r="M80" s="27">
        <f>' FY 2022 CN Tables 1A-1E '!$B$33</f>
        <v>472.59</v>
      </c>
      <c r="N80" s="24">
        <v>1</v>
      </c>
      <c r="O80" s="25">
        <f t="shared" si="16"/>
        <v>472.59</v>
      </c>
      <c r="P80" s="28">
        <f t="shared" si="17"/>
        <v>6594.24</v>
      </c>
      <c r="Q80" s="39">
        <v>0</v>
      </c>
      <c r="R80" s="36">
        <v>0</v>
      </c>
      <c r="S80" s="36">
        <v>0</v>
      </c>
      <c r="T80" s="25">
        <f t="shared" si="18"/>
        <v>0</v>
      </c>
      <c r="U80" s="25">
        <f t="shared" si="19"/>
        <v>0</v>
      </c>
      <c r="V80" s="42">
        <f t="shared" si="24"/>
        <v>0</v>
      </c>
      <c r="W80" s="36">
        <v>0</v>
      </c>
      <c r="X80" s="43">
        <f t="shared" si="20"/>
        <v>0</v>
      </c>
      <c r="Y80" s="36">
        <v>0</v>
      </c>
      <c r="Z80" s="43">
        <f t="shared" si="21"/>
        <v>0</v>
      </c>
      <c r="AA80" s="18" t="s">
        <v>93</v>
      </c>
      <c r="AB80" s="44">
        <f t="shared" si="22"/>
        <v>0</v>
      </c>
      <c r="AC80" s="162">
        <f t="shared" si="23"/>
        <v>0</v>
      </c>
    </row>
    <row r="81" spans="1:29" x14ac:dyDescent="0.35">
      <c r="A81" s="18">
        <v>13</v>
      </c>
      <c r="B81" s="22">
        <v>61326</v>
      </c>
      <c r="C81" s="23" t="s">
        <v>119</v>
      </c>
      <c r="D81" s="198"/>
      <c r="E81" s="198"/>
      <c r="F81" s="199"/>
      <c r="G81" s="200"/>
      <c r="H81" s="187"/>
      <c r="I81" s="25">
        <f>IF(J81&lt;=1,' FY 2022 CN Tables 1A-1E '!$C$5,' FY 2022 CN Tables 1A-1E '!$B$5)</f>
        <v>3795.42</v>
      </c>
      <c r="J81" s="26">
        <v>1</v>
      </c>
      <c r="K81" s="25">
        <f>IF(J81&lt;=1,' FY 2022 CN Tables 1A-1E '!$C$6,' FY 2022 CN Tables 1A-1E '!$B$6)</f>
        <v>2326.23</v>
      </c>
      <c r="L81" s="25">
        <f t="shared" si="15"/>
        <v>6121.65</v>
      </c>
      <c r="M81" s="27">
        <f>' FY 2022 CN Tables 1A-1E '!$B$33</f>
        <v>472.59</v>
      </c>
      <c r="N81" s="24">
        <v>1</v>
      </c>
      <c r="O81" s="25">
        <f t="shared" si="16"/>
        <v>472.59</v>
      </c>
      <c r="P81" s="28">
        <f t="shared" si="17"/>
        <v>6594.24</v>
      </c>
      <c r="Q81" s="39">
        <v>0</v>
      </c>
      <c r="R81" s="36">
        <v>0</v>
      </c>
      <c r="S81" s="36">
        <v>0</v>
      </c>
      <c r="T81" s="25">
        <f t="shared" si="18"/>
        <v>0</v>
      </c>
      <c r="U81" s="25">
        <f t="shared" si="19"/>
        <v>0</v>
      </c>
      <c r="V81" s="42">
        <f t="shared" si="24"/>
        <v>0</v>
      </c>
      <c r="W81" s="36">
        <v>0</v>
      </c>
      <c r="X81" s="43">
        <f t="shared" si="20"/>
        <v>0</v>
      </c>
      <c r="Y81" s="36">
        <v>0</v>
      </c>
      <c r="Z81" s="43">
        <f t="shared" si="21"/>
        <v>0</v>
      </c>
      <c r="AA81" s="18" t="s">
        <v>93</v>
      </c>
      <c r="AB81" s="44">
        <f t="shared" si="22"/>
        <v>0</v>
      </c>
      <c r="AC81" s="162">
        <f t="shared" si="23"/>
        <v>0</v>
      </c>
    </row>
    <row r="82" spans="1:29" x14ac:dyDescent="0.35">
      <c r="A82" s="18">
        <v>13</v>
      </c>
      <c r="B82" s="22">
        <v>61327</v>
      </c>
      <c r="C82" s="31" t="s">
        <v>120</v>
      </c>
      <c r="D82" s="198"/>
      <c r="E82" s="198"/>
      <c r="F82" s="199"/>
      <c r="G82" s="200"/>
      <c r="H82" s="187"/>
      <c r="I82" s="25">
        <f>IF(J82&lt;=1,' FY 2022 CN Tables 1A-1E '!$C$5,' FY 2022 CN Tables 1A-1E '!$B$5)</f>
        <v>3795.42</v>
      </c>
      <c r="J82" s="26">
        <v>1</v>
      </c>
      <c r="K82" s="25">
        <f>IF(J82&lt;=1,' FY 2022 CN Tables 1A-1E '!$C$6,' FY 2022 CN Tables 1A-1E '!$B$6)</f>
        <v>2326.23</v>
      </c>
      <c r="L82" s="25">
        <f t="shared" si="15"/>
        <v>6121.65</v>
      </c>
      <c r="M82" s="27">
        <f>' FY 2022 CN Tables 1A-1E '!$B$33</f>
        <v>472.59</v>
      </c>
      <c r="N82" s="24">
        <v>1</v>
      </c>
      <c r="O82" s="25">
        <f t="shared" si="16"/>
        <v>472.59</v>
      </c>
      <c r="P82" s="28">
        <f t="shared" si="17"/>
        <v>6594.24</v>
      </c>
      <c r="Q82" s="39">
        <v>0</v>
      </c>
      <c r="R82" s="36">
        <v>0</v>
      </c>
      <c r="S82" s="36">
        <v>0</v>
      </c>
      <c r="T82" s="25">
        <f t="shared" si="18"/>
        <v>0</v>
      </c>
      <c r="U82" s="25">
        <f t="shared" si="19"/>
        <v>0</v>
      </c>
      <c r="V82" s="42">
        <f t="shared" si="24"/>
        <v>0</v>
      </c>
      <c r="W82" s="36">
        <v>0</v>
      </c>
      <c r="X82" s="43">
        <f t="shared" si="20"/>
        <v>0</v>
      </c>
      <c r="Y82" s="36">
        <v>0</v>
      </c>
      <c r="Z82" s="43">
        <f t="shared" si="21"/>
        <v>0</v>
      </c>
      <c r="AA82" s="18" t="s">
        <v>93</v>
      </c>
      <c r="AB82" s="44">
        <f t="shared" si="22"/>
        <v>0</v>
      </c>
      <c r="AC82" s="162">
        <f t="shared" si="23"/>
        <v>0</v>
      </c>
    </row>
    <row r="83" spans="1:29" x14ac:dyDescent="0.35">
      <c r="A83" s="18">
        <v>13</v>
      </c>
      <c r="B83" s="22">
        <v>61328</v>
      </c>
      <c r="C83" s="23" t="s">
        <v>121</v>
      </c>
      <c r="D83" s="198"/>
      <c r="E83" s="198"/>
      <c r="F83" s="199"/>
      <c r="G83" s="200"/>
      <c r="H83" s="187"/>
      <c r="I83" s="25">
        <f>IF(J83&lt;=1,' FY 2022 CN Tables 1A-1E '!$C$5,' FY 2022 CN Tables 1A-1E '!$B$5)</f>
        <v>3795.42</v>
      </c>
      <c r="J83" s="26">
        <v>1</v>
      </c>
      <c r="K83" s="25">
        <f>IF(J83&lt;=1,' FY 2022 CN Tables 1A-1E '!$C$6,' FY 2022 CN Tables 1A-1E '!$B$6)</f>
        <v>2326.23</v>
      </c>
      <c r="L83" s="25">
        <f t="shared" si="15"/>
        <v>6121.65</v>
      </c>
      <c r="M83" s="27">
        <f>' FY 2022 CN Tables 1A-1E '!$B$33</f>
        <v>472.59</v>
      </c>
      <c r="N83" s="24">
        <v>1</v>
      </c>
      <c r="O83" s="25">
        <f t="shared" si="16"/>
        <v>472.59</v>
      </c>
      <c r="P83" s="28">
        <f t="shared" si="17"/>
        <v>6594.24</v>
      </c>
      <c r="Q83" s="39">
        <v>0</v>
      </c>
      <c r="R83" s="36">
        <v>0</v>
      </c>
      <c r="S83" s="36">
        <v>0</v>
      </c>
      <c r="T83" s="25">
        <f t="shared" si="18"/>
        <v>0</v>
      </c>
      <c r="U83" s="25">
        <f t="shared" si="19"/>
        <v>0</v>
      </c>
      <c r="V83" s="42">
        <f t="shared" si="24"/>
        <v>0</v>
      </c>
      <c r="W83" s="36">
        <v>0</v>
      </c>
      <c r="X83" s="43">
        <f t="shared" si="20"/>
        <v>0</v>
      </c>
      <c r="Y83" s="36">
        <v>0</v>
      </c>
      <c r="Z83" s="43">
        <f t="shared" si="21"/>
        <v>0</v>
      </c>
      <c r="AA83" s="18" t="s">
        <v>93</v>
      </c>
      <c r="AB83" s="44">
        <f t="shared" si="22"/>
        <v>0</v>
      </c>
      <c r="AC83" s="162">
        <f t="shared" si="23"/>
        <v>0</v>
      </c>
    </row>
    <row r="84" spans="1:29" x14ac:dyDescent="0.35">
      <c r="A84" s="18">
        <v>13</v>
      </c>
      <c r="B84" s="22">
        <v>61336</v>
      </c>
      <c r="C84" s="23" t="s">
        <v>122</v>
      </c>
      <c r="D84" s="198"/>
      <c r="E84" s="198"/>
      <c r="F84" s="199"/>
      <c r="G84" s="200"/>
      <c r="H84" s="187"/>
      <c r="I84" s="25">
        <f>IF(J84&lt;=1,' FY 2022 CN Tables 1A-1E '!$C$5,' FY 2022 CN Tables 1A-1E '!$B$5)</f>
        <v>3795.42</v>
      </c>
      <c r="J84" s="26">
        <v>1</v>
      </c>
      <c r="K84" s="25">
        <f>IF(J84&lt;=1,' FY 2022 CN Tables 1A-1E '!$C$6,' FY 2022 CN Tables 1A-1E '!$B$6)</f>
        <v>2326.23</v>
      </c>
      <c r="L84" s="25">
        <f t="shared" si="15"/>
        <v>6121.65</v>
      </c>
      <c r="M84" s="27">
        <f>' FY 2022 CN Tables 1A-1E '!$B$33</f>
        <v>472.59</v>
      </c>
      <c r="N84" s="24">
        <v>1</v>
      </c>
      <c r="O84" s="25">
        <f t="shared" si="16"/>
        <v>472.59</v>
      </c>
      <c r="P84" s="28">
        <f t="shared" si="17"/>
        <v>6594.24</v>
      </c>
      <c r="Q84" s="39">
        <v>0</v>
      </c>
      <c r="R84" s="36">
        <v>0</v>
      </c>
      <c r="S84" s="36">
        <v>0</v>
      </c>
      <c r="T84" s="25">
        <f t="shared" si="18"/>
        <v>0</v>
      </c>
      <c r="U84" s="25">
        <f t="shared" si="19"/>
        <v>0</v>
      </c>
      <c r="V84" s="42">
        <f t="shared" si="24"/>
        <v>0</v>
      </c>
      <c r="W84" s="36">
        <v>0</v>
      </c>
      <c r="X84" s="43">
        <f t="shared" si="20"/>
        <v>0</v>
      </c>
      <c r="Y84" s="36">
        <v>0</v>
      </c>
      <c r="Z84" s="43">
        <f t="shared" si="21"/>
        <v>0</v>
      </c>
      <c r="AA84" s="18" t="s">
        <v>93</v>
      </c>
      <c r="AB84" s="44">
        <f t="shared" si="22"/>
        <v>0</v>
      </c>
      <c r="AC84" s="162">
        <f t="shared" si="23"/>
        <v>0</v>
      </c>
    </row>
    <row r="85" spans="1:29" x14ac:dyDescent="0.35">
      <c r="A85" s="18">
        <v>13</v>
      </c>
      <c r="B85" s="22">
        <v>61343</v>
      </c>
      <c r="C85" s="23" t="s">
        <v>123</v>
      </c>
      <c r="D85" s="198"/>
      <c r="E85" s="198"/>
      <c r="F85" s="199"/>
      <c r="G85" s="200"/>
      <c r="H85" s="187"/>
      <c r="I85" s="25">
        <f>IF(J85&lt;=1,' FY 2022 CN Tables 1A-1E '!$C$5,' FY 2022 CN Tables 1A-1E '!$B$5)</f>
        <v>3795.42</v>
      </c>
      <c r="J85" s="26">
        <v>1</v>
      </c>
      <c r="K85" s="25">
        <f>IF(J85&lt;=1,' FY 2022 CN Tables 1A-1E '!$C$6,' FY 2022 CN Tables 1A-1E '!$B$6)</f>
        <v>2326.23</v>
      </c>
      <c r="L85" s="25">
        <f t="shared" si="15"/>
        <v>6121.65</v>
      </c>
      <c r="M85" s="27">
        <f>' FY 2022 CN Tables 1A-1E '!$B$33</f>
        <v>472.59</v>
      </c>
      <c r="N85" s="24">
        <v>1</v>
      </c>
      <c r="O85" s="25">
        <f t="shared" si="16"/>
        <v>472.59</v>
      </c>
      <c r="P85" s="28">
        <f t="shared" si="17"/>
        <v>6594.24</v>
      </c>
      <c r="Q85" s="39">
        <v>0</v>
      </c>
      <c r="R85" s="36">
        <v>0</v>
      </c>
      <c r="S85" s="36">
        <v>0</v>
      </c>
      <c r="T85" s="25">
        <f t="shared" si="18"/>
        <v>0</v>
      </c>
      <c r="U85" s="25">
        <f t="shared" si="19"/>
        <v>0</v>
      </c>
      <c r="V85" s="42">
        <f t="shared" si="24"/>
        <v>0</v>
      </c>
      <c r="W85" s="36">
        <v>0</v>
      </c>
      <c r="X85" s="43">
        <f t="shared" si="20"/>
        <v>0</v>
      </c>
      <c r="Y85" s="36">
        <v>0</v>
      </c>
      <c r="Z85" s="43">
        <f t="shared" si="21"/>
        <v>0</v>
      </c>
      <c r="AA85" s="18" t="s">
        <v>93</v>
      </c>
      <c r="AB85" s="44">
        <f t="shared" si="22"/>
        <v>0</v>
      </c>
      <c r="AC85" s="162">
        <f t="shared" si="23"/>
        <v>0</v>
      </c>
    </row>
    <row r="86" spans="1:29" x14ac:dyDescent="0.35">
      <c r="A86" s="18">
        <v>13</v>
      </c>
      <c r="B86" s="22">
        <v>61344</v>
      </c>
      <c r="C86" s="23" t="s">
        <v>124</v>
      </c>
      <c r="D86" s="198"/>
      <c r="E86" s="198"/>
      <c r="F86" s="199"/>
      <c r="G86" s="200"/>
      <c r="H86" s="187"/>
      <c r="I86" s="25">
        <f>IF(J86&lt;=1,' FY 2022 CN Tables 1A-1E '!$C$5,' FY 2022 CN Tables 1A-1E '!$B$5)</f>
        <v>3795.42</v>
      </c>
      <c r="J86" s="26">
        <v>1</v>
      </c>
      <c r="K86" s="25">
        <f>IF(J86&lt;=1,' FY 2022 CN Tables 1A-1E '!$C$6,' FY 2022 CN Tables 1A-1E '!$B$6)</f>
        <v>2326.23</v>
      </c>
      <c r="L86" s="25">
        <f t="shared" si="15"/>
        <v>6121.65</v>
      </c>
      <c r="M86" s="27">
        <f>' FY 2022 CN Tables 1A-1E '!$B$33</f>
        <v>472.59</v>
      </c>
      <c r="N86" s="24">
        <v>1</v>
      </c>
      <c r="O86" s="25">
        <f t="shared" si="16"/>
        <v>472.59</v>
      </c>
      <c r="P86" s="28">
        <f t="shared" si="17"/>
        <v>6594.24</v>
      </c>
      <c r="Q86" s="39">
        <v>0</v>
      </c>
      <c r="R86" s="36">
        <v>0</v>
      </c>
      <c r="S86" s="36">
        <v>0</v>
      </c>
      <c r="T86" s="25">
        <f t="shared" si="18"/>
        <v>0</v>
      </c>
      <c r="U86" s="25">
        <f t="shared" si="19"/>
        <v>0</v>
      </c>
      <c r="V86" s="42">
        <f t="shared" si="24"/>
        <v>0</v>
      </c>
      <c r="W86" s="36">
        <v>0</v>
      </c>
      <c r="X86" s="43">
        <f t="shared" si="20"/>
        <v>0</v>
      </c>
      <c r="Y86" s="36">
        <v>0</v>
      </c>
      <c r="Z86" s="43">
        <f t="shared" si="21"/>
        <v>0</v>
      </c>
      <c r="AA86" s="18" t="s">
        <v>93</v>
      </c>
      <c r="AB86" s="44">
        <f t="shared" si="22"/>
        <v>0</v>
      </c>
      <c r="AC86" s="162">
        <f t="shared" si="23"/>
        <v>0</v>
      </c>
    </row>
    <row r="87" spans="1:29" x14ac:dyDescent="0.35">
      <c r="A87" s="18">
        <v>33</v>
      </c>
      <c r="B87" s="22">
        <v>63301</v>
      </c>
      <c r="C87" s="23" t="s">
        <v>125</v>
      </c>
      <c r="D87" s="198"/>
      <c r="E87" s="198"/>
      <c r="F87" s="199"/>
      <c r="G87" s="200"/>
      <c r="H87" s="187"/>
      <c r="I87" s="25">
        <f>IF(J87&lt;=1,' FY 2022 CN Tables 1A-1E '!$C$5,' FY 2022 CN Tables 1A-1E '!$B$5)</f>
        <v>3795.42</v>
      </c>
      <c r="J87" s="26">
        <v>1</v>
      </c>
      <c r="K87" s="25">
        <f>IF(J87&lt;=1,' FY 2022 CN Tables 1A-1E '!$C$6,' FY 2022 CN Tables 1A-1E '!$B$6)</f>
        <v>2326.23</v>
      </c>
      <c r="L87" s="25">
        <f t="shared" si="15"/>
        <v>6121.65</v>
      </c>
      <c r="M87" s="27">
        <f>' FY 2022 CN Tables 1A-1E '!$B$33</f>
        <v>472.59</v>
      </c>
      <c r="N87" s="24">
        <v>1</v>
      </c>
      <c r="O87" s="25">
        <f t="shared" si="16"/>
        <v>472.59</v>
      </c>
      <c r="P87" s="28">
        <f t="shared" si="17"/>
        <v>6594.24</v>
      </c>
      <c r="Q87" s="40">
        <v>131.35987315301099</v>
      </c>
      <c r="R87" s="36">
        <v>0</v>
      </c>
      <c r="S87" s="36">
        <v>0</v>
      </c>
      <c r="T87" s="25">
        <f t="shared" si="18"/>
        <v>0</v>
      </c>
      <c r="U87" s="25">
        <f t="shared" si="19"/>
        <v>0</v>
      </c>
      <c r="V87" s="271">
        <v>1840.9767768255931</v>
      </c>
      <c r="W87" s="36">
        <v>0</v>
      </c>
      <c r="X87" s="43">
        <f t="shared" si="20"/>
        <v>0</v>
      </c>
      <c r="Y87" s="36">
        <v>0</v>
      </c>
      <c r="Z87" s="43">
        <f t="shared" si="21"/>
        <v>0</v>
      </c>
      <c r="AA87" s="18" t="s">
        <v>93</v>
      </c>
      <c r="AB87" s="44">
        <f t="shared" si="22"/>
        <v>0</v>
      </c>
      <c r="AC87" s="162">
        <f t="shared" si="23"/>
        <v>0</v>
      </c>
    </row>
    <row r="88" spans="1:29" x14ac:dyDescent="0.35">
      <c r="A88" s="18">
        <v>33</v>
      </c>
      <c r="B88" s="22">
        <v>63303</v>
      </c>
      <c r="C88" s="23" t="s">
        <v>126</v>
      </c>
      <c r="D88" s="198"/>
      <c r="E88" s="198"/>
      <c r="F88" s="198"/>
      <c r="G88" s="200"/>
      <c r="H88" s="187"/>
      <c r="I88" s="25">
        <f>IF(J88&lt;=1,' FY 2022 CN Tables 1A-1E '!$C$5,' FY 2022 CN Tables 1A-1E '!$B$5)</f>
        <v>3795.42</v>
      </c>
      <c r="J88" s="26">
        <v>1</v>
      </c>
      <c r="K88" s="25">
        <f>IF(J88&lt;=1,' FY 2022 CN Tables 1A-1E '!$C$6,' FY 2022 CN Tables 1A-1E '!$B$6)</f>
        <v>2326.23</v>
      </c>
      <c r="L88" s="25">
        <f t="shared" si="15"/>
        <v>6121.65</v>
      </c>
      <c r="M88" s="27">
        <f>' FY 2022 CN Tables 1A-1E '!$B$33</f>
        <v>472.59</v>
      </c>
      <c r="N88" s="24">
        <v>1</v>
      </c>
      <c r="O88" s="25">
        <f t="shared" si="16"/>
        <v>472.59</v>
      </c>
      <c r="P88" s="28">
        <f t="shared" si="17"/>
        <v>6594.24</v>
      </c>
      <c r="Q88" s="41">
        <v>0</v>
      </c>
      <c r="R88" s="36">
        <v>0</v>
      </c>
      <c r="S88" s="36">
        <v>0</v>
      </c>
      <c r="T88" s="25">
        <f t="shared" si="18"/>
        <v>0</v>
      </c>
      <c r="U88" s="25">
        <f t="shared" si="19"/>
        <v>0</v>
      </c>
      <c r="V88" s="42">
        <f t="shared" si="24"/>
        <v>0</v>
      </c>
      <c r="W88" s="36">
        <v>0</v>
      </c>
      <c r="X88" s="43">
        <f t="shared" si="20"/>
        <v>0</v>
      </c>
      <c r="Y88" s="36">
        <v>0</v>
      </c>
      <c r="Z88" s="43">
        <f t="shared" si="21"/>
        <v>0</v>
      </c>
      <c r="AA88" s="18" t="s">
        <v>93</v>
      </c>
      <c r="AB88" s="44">
        <f t="shared" si="22"/>
        <v>0</v>
      </c>
      <c r="AC88" s="162">
        <f t="shared" si="23"/>
        <v>0</v>
      </c>
    </row>
    <row r="89" spans="1:29" s="11" customFormat="1" x14ac:dyDescent="0.35">
      <c r="A89" s="32"/>
      <c r="B89" s="33"/>
      <c r="C89" s="34"/>
      <c r="D89" s="209"/>
      <c r="E89" s="209"/>
      <c r="F89" s="210"/>
      <c r="G89" s="209"/>
      <c r="H89" s="192"/>
      <c r="I89" s="33"/>
      <c r="J89" s="33"/>
      <c r="K89" s="33"/>
      <c r="L89" s="33"/>
      <c r="M89" s="33"/>
      <c r="N89" s="33"/>
      <c r="O89" s="33"/>
      <c r="P89" s="33"/>
      <c r="Q89" s="37"/>
      <c r="R89" s="33"/>
      <c r="S89" s="33"/>
      <c r="T89" s="33"/>
      <c r="U89" s="33"/>
      <c r="V89" s="163"/>
      <c r="W89" s="45"/>
      <c r="X89" s="46"/>
      <c r="Y89" s="33"/>
      <c r="Z89" s="46"/>
      <c r="AA89" s="33"/>
      <c r="AB89" s="47"/>
    </row>
    <row r="90" spans="1:29" s="11" customFormat="1" x14ac:dyDescent="0.35">
      <c r="A90" s="15"/>
      <c r="B90" s="16"/>
      <c r="C90" s="17"/>
      <c r="D90" s="194"/>
      <c r="E90" s="211"/>
      <c r="F90" s="210"/>
      <c r="G90" s="193"/>
      <c r="H90" s="193"/>
      <c r="I90" s="35"/>
      <c r="J90" s="35"/>
      <c r="K90" s="35"/>
      <c r="L90" s="35"/>
      <c r="M90" s="35"/>
      <c r="N90" s="35"/>
      <c r="O90" s="35"/>
      <c r="P90" s="35"/>
      <c r="Q90" s="38"/>
      <c r="R90" s="35"/>
      <c r="S90" s="35"/>
      <c r="T90" s="35"/>
      <c r="U90" s="213"/>
      <c r="V90" s="215"/>
      <c r="W90" s="45"/>
      <c r="X90" s="46"/>
      <c r="Y90" s="29"/>
      <c r="Z90" s="46"/>
      <c r="AA90" s="29"/>
      <c r="AB90" s="48"/>
    </row>
    <row r="91" spans="1:29" s="11" customFormat="1" x14ac:dyDescent="0.35">
      <c r="A91" s="15"/>
      <c r="B91" s="16"/>
      <c r="C91" s="17"/>
      <c r="D91" s="194"/>
      <c r="E91" s="212"/>
      <c r="F91" s="201"/>
      <c r="G91" s="193"/>
      <c r="H91" s="193"/>
      <c r="I91" s="35"/>
      <c r="J91" s="35"/>
      <c r="K91" s="35"/>
      <c r="L91" s="35"/>
      <c r="M91" s="35"/>
      <c r="N91" s="35"/>
      <c r="O91" s="35"/>
      <c r="P91" s="35"/>
      <c r="Q91" s="38"/>
      <c r="R91" s="35"/>
      <c r="S91" s="35"/>
      <c r="T91" s="35"/>
      <c r="U91" s="213"/>
      <c r="V91" s="214"/>
      <c r="W91" s="29"/>
      <c r="X91" s="29"/>
      <c r="Y91" s="29"/>
      <c r="Z91" s="29"/>
      <c r="AA91" s="29"/>
      <c r="AB91" s="48"/>
    </row>
    <row r="92" spans="1:29" s="11" customFormat="1" x14ac:dyDescent="0.35">
      <c r="A92" s="15"/>
      <c r="B92" s="16"/>
      <c r="C92" s="17"/>
      <c r="D92" s="194"/>
      <c r="E92" s="212"/>
      <c r="F92" s="209"/>
      <c r="G92" s="193"/>
      <c r="H92" s="193"/>
      <c r="I92" s="35"/>
      <c r="J92" s="35"/>
      <c r="K92" s="35"/>
      <c r="L92" s="35"/>
      <c r="M92" s="35"/>
      <c r="N92" s="35"/>
      <c r="O92" s="35"/>
      <c r="P92" s="35"/>
      <c r="Q92" s="38"/>
      <c r="R92" s="35"/>
      <c r="S92" s="35"/>
      <c r="T92" s="35"/>
      <c r="U92" s="216"/>
      <c r="V92" s="217"/>
      <c r="X92" s="29"/>
      <c r="Y92" s="29"/>
      <c r="Z92" s="29"/>
      <c r="AA92" s="29"/>
      <c r="AB92" s="48"/>
    </row>
    <row r="93" spans="1:29" s="11" customFormat="1" x14ac:dyDescent="0.35">
      <c r="A93" s="15"/>
      <c r="B93" s="16"/>
      <c r="C93" s="17"/>
      <c r="D93" s="194"/>
      <c r="E93" s="194"/>
      <c r="F93" s="201"/>
      <c r="G93" s="193"/>
      <c r="H93" s="193"/>
      <c r="I93" s="35"/>
      <c r="J93" s="35"/>
      <c r="K93" s="35"/>
      <c r="L93" s="35"/>
      <c r="M93" s="35"/>
      <c r="N93" s="35"/>
      <c r="O93" s="35"/>
      <c r="P93" s="35"/>
      <c r="Q93" s="38"/>
      <c r="R93" s="35"/>
      <c r="S93" s="35"/>
      <c r="T93" s="35"/>
      <c r="U93" s="218"/>
      <c r="V93" s="219"/>
      <c r="X93" s="29"/>
      <c r="Y93" s="29"/>
      <c r="Z93" s="29"/>
      <c r="AA93" s="29"/>
      <c r="AB93" s="48"/>
    </row>
    <row r="94" spans="1:29" s="11" customFormat="1" x14ac:dyDescent="0.35">
      <c r="A94" s="15"/>
      <c r="B94" s="16"/>
      <c r="C94" s="17"/>
      <c r="D94" s="194"/>
      <c r="E94" s="194"/>
      <c r="F94" s="194"/>
      <c r="G94" s="193"/>
      <c r="H94" s="193"/>
      <c r="I94" s="35"/>
      <c r="J94" s="35"/>
      <c r="K94" s="35"/>
      <c r="L94" s="35"/>
      <c r="M94" s="35"/>
      <c r="N94" s="35"/>
      <c r="O94" s="35"/>
      <c r="P94" s="35"/>
      <c r="Q94" s="38"/>
      <c r="R94" s="35"/>
      <c r="S94" s="35"/>
      <c r="T94" s="35"/>
      <c r="U94" s="218"/>
      <c r="V94" s="220"/>
      <c r="X94" s="29"/>
      <c r="Y94" s="29"/>
      <c r="Z94" s="29"/>
      <c r="AA94" s="29"/>
      <c r="AB94" s="48"/>
    </row>
    <row r="95" spans="1:29" s="11" customFormat="1" x14ac:dyDescent="0.35">
      <c r="A95" s="15"/>
      <c r="B95" s="16"/>
      <c r="C95" s="17"/>
      <c r="D95" s="194"/>
      <c r="E95" s="194"/>
      <c r="F95" s="194"/>
      <c r="G95" s="193"/>
      <c r="H95" s="193"/>
      <c r="I95" s="35"/>
      <c r="J95" s="35"/>
      <c r="K95" s="35"/>
      <c r="L95" s="35"/>
      <c r="M95" s="35"/>
      <c r="N95" s="35"/>
      <c r="O95" s="35"/>
      <c r="P95" s="35"/>
      <c r="Q95" s="38"/>
      <c r="R95" s="35"/>
      <c r="S95" s="35"/>
      <c r="T95" s="35"/>
      <c r="U95" s="218"/>
      <c r="V95" s="220"/>
      <c r="X95" s="29"/>
      <c r="Y95" s="29"/>
      <c r="Z95" s="29"/>
      <c r="AA95" s="29"/>
      <c r="AB95" s="48"/>
    </row>
    <row r="96" spans="1:29" s="11" customFormat="1" x14ac:dyDescent="0.35">
      <c r="A96" s="15"/>
      <c r="B96" s="16"/>
      <c r="C96" s="17"/>
      <c r="D96" s="194"/>
      <c r="E96" s="194"/>
      <c r="F96" s="194"/>
      <c r="G96" s="193"/>
      <c r="H96" s="193"/>
      <c r="I96" s="35"/>
      <c r="J96" s="35"/>
      <c r="K96" s="35"/>
      <c r="L96" s="35"/>
      <c r="M96" s="35"/>
      <c r="N96" s="35"/>
      <c r="O96" s="35"/>
      <c r="P96" s="35"/>
      <c r="Q96" s="38"/>
      <c r="R96" s="35"/>
      <c r="S96" s="35"/>
      <c r="T96" s="35"/>
      <c r="U96" s="218"/>
      <c r="V96" s="221"/>
      <c r="X96" s="29"/>
      <c r="Y96" s="29"/>
      <c r="Z96" s="29"/>
      <c r="AA96" s="29"/>
      <c r="AB96" s="48"/>
    </row>
    <row r="97" spans="1:28" s="11" customFormat="1" x14ac:dyDescent="0.35">
      <c r="A97" s="15"/>
      <c r="B97" s="16"/>
      <c r="C97" s="17"/>
      <c r="D97" s="194"/>
      <c r="E97" s="194"/>
      <c r="F97" s="194"/>
      <c r="G97" s="193"/>
      <c r="H97" s="193"/>
      <c r="I97" s="35"/>
      <c r="J97" s="35"/>
      <c r="K97" s="35"/>
      <c r="L97" s="35"/>
      <c r="M97" s="35"/>
      <c r="N97" s="35"/>
      <c r="O97" s="35"/>
      <c r="P97" s="35"/>
      <c r="Q97" s="38"/>
      <c r="R97" s="35"/>
      <c r="S97" s="35"/>
      <c r="T97" s="35"/>
      <c r="U97" s="218"/>
      <c r="V97" s="221"/>
      <c r="X97" s="29"/>
      <c r="Y97" s="29"/>
      <c r="Z97" s="29"/>
      <c r="AA97" s="29"/>
      <c r="AB97" s="48"/>
    </row>
    <row r="98" spans="1:28" s="11" customFormat="1" x14ac:dyDescent="0.35">
      <c r="A98" s="15"/>
      <c r="B98" s="16"/>
      <c r="C98" s="17"/>
      <c r="D98" s="194"/>
      <c r="E98" s="194"/>
      <c r="F98" s="194"/>
      <c r="G98" s="193"/>
      <c r="H98" s="193"/>
      <c r="I98" s="35"/>
      <c r="J98" s="35"/>
      <c r="K98" s="35"/>
      <c r="L98" s="35"/>
      <c r="M98" s="35"/>
      <c r="N98" s="35"/>
      <c r="O98" s="35"/>
      <c r="P98" s="35"/>
      <c r="Q98" s="38"/>
      <c r="R98" s="35"/>
      <c r="S98" s="35"/>
      <c r="T98" s="35"/>
      <c r="U98" s="218"/>
      <c r="V98" s="222"/>
      <c r="X98" s="29"/>
      <c r="Y98" s="29"/>
      <c r="Z98" s="29"/>
      <c r="AA98" s="29"/>
      <c r="AB98" s="48"/>
    </row>
    <row r="99" spans="1:28" s="11" customFormat="1" x14ac:dyDescent="0.35">
      <c r="A99" s="15"/>
      <c r="B99" s="16"/>
      <c r="C99" s="17"/>
      <c r="D99" s="194"/>
      <c r="E99" s="194"/>
      <c r="F99" s="194"/>
      <c r="G99" s="193"/>
      <c r="H99" s="193"/>
      <c r="I99" s="35"/>
      <c r="J99" s="35"/>
      <c r="K99" s="35"/>
      <c r="L99" s="35"/>
      <c r="M99" s="35"/>
      <c r="N99" s="35"/>
      <c r="O99" s="35"/>
      <c r="P99" s="35"/>
      <c r="Q99" s="38"/>
      <c r="R99" s="35"/>
      <c r="S99" s="35"/>
      <c r="T99" s="35"/>
      <c r="U99" s="218"/>
      <c r="V99" s="222"/>
      <c r="X99" s="29"/>
      <c r="Y99" s="29"/>
      <c r="Z99" s="29"/>
      <c r="AA99" s="29"/>
      <c r="AB99" s="48"/>
    </row>
    <row r="100" spans="1:28" s="11" customFormat="1" x14ac:dyDescent="0.35">
      <c r="A100" s="15"/>
      <c r="B100" s="16"/>
      <c r="C100" s="17"/>
      <c r="D100" s="194"/>
      <c r="E100" s="194"/>
      <c r="F100" s="194"/>
      <c r="G100" s="193"/>
      <c r="H100" s="193"/>
      <c r="I100" s="35"/>
      <c r="J100" s="35"/>
      <c r="K100" s="35"/>
      <c r="L100" s="35"/>
      <c r="M100" s="35"/>
      <c r="N100" s="35"/>
      <c r="O100" s="35"/>
      <c r="P100" s="35"/>
      <c r="Q100" s="38"/>
      <c r="R100" s="35"/>
      <c r="S100" s="35"/>
      <c r="T100" s="35"/>
      <c r="U100" s="218"/>
      <c r="V100" s="223"/>
      <c r="X100" s="29"/>
      <c r="Y100" s="29"/>
      <c r="Z100" s="29"/>
      <c r="AA100" s="29"/>
      <c r="AB100" s="48"/>
    </row>
    <row r="101" spans="1:28" s="11" customFormat="1" x14ac:dyDescent="0.35">
      <c r="A101" s="15"/>
      <c r="B101" s="16"/>
      <c r="C101" s="17"/>
      <c r="D101" s="194"/>
      <c r="E101" s="194"/>
      <c r="F101" s="194"/>
      <c r="G101" s="193"/>
      <c r="H101" s="193"/>
      <c r="I101" s="35"/>
      <c r="J101" s="35"/>
      <c r="K101" s="35"/>
      <c r="L101" s="35"/>
      <c r="M101" s="35"/>
      <c r="N101" s="35"/>
      <c r="O101" s="35"/>
      <c r="P101" s="35"/>
      <c r="Q101" s="38"/>
      <c r="R101" s="35"/>
      <c r="S101" s="35"/>
      <c r="T101" s="35"/>
      <c r="U101" s="218"/>
      <c r="V101" s="223"/>
      <c r="X101" s="29"/>
      <c r="Y101" s="29"/>
      <c r="Z101" s="29"/>
      <c r="AA101" s="29"/>
      <c r="AB101" s="48"/>
    </row>
    <row r="102" spans="1:28" s="11" customFormat="1" x14ac:dyDescent="0.35">
      <c r="A102" s="15"/>
      <c r="B102" s="16"/>
      <c r="C102" s="17"/>
      <c r="D102" s="194"/>
      <c r="E102" s="194"/>
      <c r="F102" s="194"/>
      <c r="G102" s="193"/>
      <c r="H102" s="193"/>
      <c r="I102" s="35"/>
      <c r="J102" s="35"/>
      <c r="K102" s="35"/>
      <c r="L102" s="35"/>
      <c r="M102" s="35"/>
      <c r="N102" s="35"/>
      <c r="O102" s="35"/>
      <c r="P102" s="35"/>
      <c r="Q102" s="38"/>
      <c r="R102" s="35"/>
      <c r="S102" s="35"/>
      <c r="T102" s="35"/>
      <c r="U102" s="35"/>
      <c r="W102" s="29"/>
      <c r="X102" s="29"/>
      <c r="Y102" s="29"/>
      <c r="Z102" s="29"/>
      <c r="AA102" s="29"/>
      <c r="AB102" s="48"/>
    </row>
    <row r="103" spans="1:28" s="11" customFormat="1" x14ac:dyDescent="0.35">
      <c r="A103" s="15"/>
      <c r="B103" s="16"/>
      <c r="C103" s="17"/>
      <c r="D103" s="194"/>
      <c r="E103" s="194"/>
      <c r="F103" s="194"/>
      <c r="G103" s="193"/>
      <c r="H103" s="193"/>
      <c r="I103" s="35"/>
      <c r="J103" s="35"/>
      <c r="K103" s="35"/>
      <c r="L103" s="35"/>
      <c r="M103" s="35"/>
      <c r="N103" s="35"/>
      <c r="O103" s="35"/>
      <c r="P103" s="35"/>
      <c r="Q103" s="38"/>
      <c r="R103" s="35"/>
      <c r="S103" s="35"/>
      <c r="T103" s="35"/>
      <c r="U103" s="35"/>
      <c r="W103" s="29"/>
      <c r="X103" s="29"/>
      <c r="Y103" s="29"/>
      <c r="Z103" s="29"/>
      <c r="AA103" s="29"/>
      <c r="AB103" s="48"/>
    </row>
    <row r="104" spans="1:28" s="11" customFormat="1" x14ac:dyDescent="0.35">
      <c r="A104" s="15"/>
      <c r="B104" s="16"/>
      <c r="C104" s="17"/>
      <c r="D104" s="194"/>
      <c r="E104" s="194"/>
      <c r="F104" s="194"/>
      <c r="G104" s="193"/>
      <c r="H104" s="193"/>
      <c r="I104" s="35"/>
      <c r="J104" s="35"/>
      <c r="K104" s="35"/>
      <c r="L104" s="35"/>
      <c r="M104" s="35"/>
      <c r="N104" s="35"/>
      <c r="O104" s="35"/>
      <c r="P104" s="35"/>
      <c r="Q104" s="38"/>
      <c r="R104" s="35"/>
      <c r="S104" s="35"/>
      <c r="T104" s="35"/>
      <c r="U104" s="35"/>
      <c r="W104" s="29"/>
      <c r="X104" s="29"/>
      <c r="Y104" s="29"/>
      <c r="Z104" s="29"/>
      <c r="AA104" s="29"/>
      <c r="AB104" s="48"/>
    </row>
    <row r="105" spans="1:28" s="11" customFormat="1" x14ac:dyDescent="0.35">
      <c r="A105" s="15"/>
      <c r="B105" s="16"/>
      <c r="C105" s="17"/>
      <c r="D105" s="194"/>
      <c r="E105" s="194"/>
      <c r="F105" s="194"/>
      <c r="G105" s="193"/>
      <c r="H105" s="193"/>
      <c r="I105" s="35"/>
      <c r="J105" s="35"/>
      <c r="K105" s="35"/>
      <c r="L105" s="35"/>
      <c r="M105" s="35"/>
      <c r="N105" s="35"/>
      <c r="O105" s="35"/>
      <c r="P105" s="35"/>
      <c r="Q105" s="38"/>
      <c r="R105" s="35"/>
      <c r="S105" s="35"/>
      <c r="T105" s="35"/>
      <c r="U105" s="35"/>
      <c r="W105" s="29"/>
      <c r="X105" s="29"/>
      <c r="Y105" s="29"/>
      <c r="Z105" s="29"/>
      <c r="AA105" s="29"/>
      <c r="AB105" s="48"/>
    </row>
    <row r="106" spans="1:28" s="11" customFormat="1" x14ac:dyDescent="0.35">
      <c r="A106" s="15"/>
      <c r="B106" s="16"/>
      <c r="C106" s="17"/>
      <c r="D106" s="194"/>
      <c r="E106" s="194"/>
      <c r="F106" s="194"/>
      <c r="G106" s="193"/>
      <c r="H106" s="193"/>
      <c r="I106" s="35"/>
      <c r="J106" s="35"/>
      <c r="K106" s="35"/>
      <c r="L106" s="35"/>
      <c r="M106" s="35"/>
      <c r="N106" s="35"/>
      <c r="O106" s="35"/>
      <c r="P106" s="35"/>
      <c r="Q106" s="38"/>
      <c r="R106" s="35"/>
      <c r="S106" s="35"/>
      <c r="T106" s="35"/>
      <c r="U106" s="35"/>
      <c r="W106" s="29"/>
      <c r="X106" s="29"/>
      <c r="Y106" s="29"/>
      <c r="Z106" s="29"/>
      <c r="AA106" s="29"/>
      <c r="AB106" s="48"/>
    </row>
    <row r="107" spans="1:28" s="11" customFormat="1" x14ac:dyDescent="0.35">
      <c r="A107" s="15"/>
      <c r="B107" s="16"/>
      <c r="C107" s="17"/>
      <c r="D107" s="194"/>
      <c r="E107" s="194"/>
      <c r="F107" s="194"/>
      <c r="G107" s="193"/>
      <c r="H107" s="193"/>
      <c r="I107" s="35"/>
      <c r="J107" s="35"/>
      <c r="K107" s="35"/>
      <c r="L107" s="35"/>
      <c r="M107" s="35"/>
      <c r="N107" s="35"/>
      <c r="O107" s="35"/>
      <c r="P107" s="35"/>
      <c r="Q107" s="38"/>
      <c r="R107" s="35"/>
      <c r="S107" s="35"/>
      <c r="T107" s="35"/>
      <c r="U107" s="35"/>
      <c r="W107" s="29"/>
      <c r="X107" s="29"/>
      <c r="Y107" s="29"/>
      <c r="Z107" s="29"/>
      <c r="AA107" s="29"/>
      <c r="AB107" s="48"/>
    </row>
    <row r="108" spans="1:28" s="11" customFormat="1" x14ac:dyDescent="0.35">
      <c r="A108" s="15"/>
      <c r="B108" s="16"/>
      <c r="C108" s="17"/>
      <c r="D108" s="194"/>
      <c r="E108" s="194"/>
      <c r="F108" s="194"/>
      <c r="G108" s="193"/>
      <c r="H108" s="193"/>
      <c r="I108" s="35"/>
      <c r="J108" s="35"/>
      <c r="K108" s="35"/>
      <c r="L108" s="35"/>
      <c r="M108" s="35"/>
      <c r="N108" s="35"/>
      <c r="O108" s="35"/>
      <c r="P108" s="35"/>
      <c r="Q108" s="38"/>
      <c r="R108" s="35"/>
      <c r="S108" s="35"/>
      <c r="T108" s="35"/>
      <c r="U108" s="35"/>
      <c r="W108" s="29"/>
      <c r="X108" s="29"/>
      <c r="Y108" s="29"/>
      <c r="Z108" s="29"/>
      <c r="AA108" s="29"/>
      <c r="AB108" s="48"/>
    </row>
    <row r="109" spans="1:28" s="11" customFormat="1" x14ac:dyDescent="0.35">
      <c r="A109" s="15"/>
      <c r="B109" s="16"/>
      <c r="C109" s="17"/>
      <c r="D109" s="194"/>
      <c r="E109" s="194"/>
      <c r="F109" s="194"/>
      <c r="G109" s="193"/>
      <c r="H109" s="193"/>
      <c r="I109" s="35"/>
      <c r="J109" s="35"/>
      <c r="K109" s="35"/>
      <c r="L109" s="35"/>
      <c r="M109" s="35"/>
      <c r="N109" s="35"/>
      <c r="O109" s="35"/>
      <c r="P109" s="35"/>
      <c r="Q109" s="38"/>
      <c r="R109" s="35"/>
      <c r="S109" s="35"/>
      <c r="T109" s="35"/>
      <c r="U109" s="35"/>
      <c r="W109" s="29"/>
      <c r="X109" s="29"/>
      <c r="Y109" s="29"/>
      <c r="Z109" s="29"/>
      <c r="AA109" s="29"/>
      <c r="AB109" s="48"/>
    </row>
    <row r="110" spans="1:28" s="11" customFormat="1" x14ac:dyDescent="0.35">
      <c r="A110" s="15"/>
      <c r="B110" s="16"/>
      <c r="C110" s="17"/>
      <c r="D110" s="194"/>
      <c r="E110" s="194"/>
      <c r="F110" s="194"/>
      <c r="G110" s="193"/>
      <c r="H110" s="193"/>
      <c r="I110" s="35"/>
      <c r="J110" s="35"/>
      <c r="K110" s="35"/>
      <c r="L110" s="35"/>
      <c r="M110" s="35"/>
      <c r="N110" s="35"/>
      <c r="O110" s="35"/>
      <c r="P110" s="35"/>
      <c r="Q110" s="38"/>
      <c r="R110" s="35"/>
      <c r="S110" s="35"/>
      <c r="T110" s="35"/>
      <c r="U110" s="35"/>
      <c r="W110" s="29"/>
      <c r="X110" s="29"/>
      <c r="Y110" s="29"/>
      <c r="Z110" s="29"/>
      <c r="AA110" s="29"/>
      <c r="AB110" s="48"/>
    </row>
    <row r="111" spans="1:28" s="11" customFormat="1" x14ac:dyDescent="0.35">
      <c r="A111" s="15"/>
      <c r="B111" s="16"/>
      <c r="C111" s="17"/>
      <c r="D111" s="194"/>
      <c r="E111" s="194"/>
      <c r="F111" s="194"/>
      <c r="G111" s="193"/>
      <c r="H111" s="193"/>
      <c r="I111" s="35"/>
      <c r="J111" s="35"/>
      <c r="K111" s="35"/>
      <c r="L111" s="35"/>
      <c r="M111" s="35"/>
      <c r="N111" s="35"/>
      <c r="O111" s="35"/>
      <c r="P111" s="35"/>
      <c r="Q111" s="38"/>
      <c r="R111" s="35"/>
      <c r="S111" s="35"/>
      <c r="T111" s="35"/>
      <c r="U111" s="35"/>
      <c r="W111" s="29"/>
      <c r="X111" s="29"/>
      <c r="Y111" s="29"/>
      <c r="Z111" s="29"/>
      <c r="AA111" s="29"/>
      <c r="AB111" s="48"/>
    </row>
    <row r="112" spans="1:28" s="11" customFormat="1" x14ac:dyDescent="0.35">
      <c r="A112" s="15"/>
      <c r="B112" s="16"/>
      <c r="C112" s="17"/>
      <c r="D112" s="194"/>
      <c r="E112" s="194"/>
      <c r="F112" s="194"/>
      <c r="G112" s="193"/>
      <c r="H112" s="193"/>
      <c r="I112" s="35"/>
      <c r="J112" s="35"/>
      <c r="K112" s="35"/>
      <c r="L112" s="35"/>
      <c r="M112" s="35"/>
      <c r="N112" s="35"/>
      <c r="O112" s="35"/>
      <c r="P112" s="35"/>
      <c r="Q112" s="38"/>
      <c r="R112" s="35"/>
      <c r="S112" s="35"/>
      <c r="T112" s="35"/>
      <c r="U112" s="35"/>
      <c r="W112" s="29"/>
      <c r="X112" s="29"/>
      <c r="Y112" s="29"/>
      <c r="Z112" s="29"/>
      <c r="AA112" s="29"/>
      <c r="AB112" s="48"/>
    </row>
    <row r="113" spans="1:28" s="11" customFormat="1" x14ac:dyDescent="0.35">
      <c r="A113" s="15"/>
      <c r="B113" s="16"/>
      <c r="C113" s="17"/>
      <c r="D113" s="194"/>
      <c r="E113" s="194"/>
      <c r="F113" s="194"/>
      <c r="G113" s="193"/>
      <c r="H113" s="193"/>
      <c r="I113" s="35"/>
      <c r="J113" s="35"/>
      <c r="K113" s="35"/>
      <c r="L113" s="35"/>
      <c r="M113" s="35"/>
      <c r="N113" s="35"/>
      <c r="O113" s="35"/>
      <c r="P113" s="35"/>
      <c r="Q113" s="38"/>
      <c r="R113" s="35"/>
      <c r="S113" s="35"/>
      <c r="T113" s="35"/>
      <c r="U113" s="35"/>
      <c r="W113" s="29"/>
      <c r="X113" s="29"/>
      <c r="Y113" s="29"/>
      <c r="Z113" s="29"/>
      <c r="AA113" s="29"/>
      <c r="AB113" s="48"/>
    </row>
    <row r="114" spans="1:28" s="11" customFormat="1" x14ac:dyDescent="0.35">
      <c r="A114" s="15"/>
      <c r="B114" s="16"/>
      <c r="C114" s="17"/>
      <c r="D114" s="194"/>
      <c r="E114" s="194"/>
      <c r="F114" s="194"/>
      <c r="G114" s="193"/>
      <c r="H114" s="193"/>
      <c r="I114" s="35"/>
      <c r="J114" s="35"/>
      <c r="K114" s="35"/>
      <c r="L114" s="35"/>
      <c r="M114" s="35"/>
      <c r="N114" s="35"/>
      <c r="O114" s="35"/>
      <c r="P114" s="35"/>
      <c r="Q114" s="38"/>
      <c r="R114" s="35"/>
      <c r="S114" s="35"/>
      <c r="T114" s="35"/>
      <c r="U114" s="35"/>
      <c r="W114" s="29"/>
      <c r="X114" s="29"/>
      <c r="Y114" s="29"/>
      <c r="Z114" s="29"/>
      <c r="AA114" s="29"/>
      <c r="AB114" s="48"/>
    </row>
    <row r="115" spans="1:28" s="11" customFormat="1" x14ac:dyDescent="0.35">
      <c r="A115" s="15"/>
      <c r="B115" s="16"/>
      <c r="C115" s="17"/>
      <c r="D115" s="194"/>
      <c r="E115" s="194"/>
      <c r="F115" s="194"/>
      <c r="G115" s="193"/>
      <c r="H115" s="193"/>
      <c r="I115" s="35"/>
      <c r="J115" s="35"/>
      <c r="K115" s="35"/>
      <c r="L115" s="35"/>
      <c r="M115" s="35"/>
      <c r="N115" s="35"/>
      <c r="O115" s="35"/>
      <c r="P115" s="35"/>
      <c r="Q115" s="38"/>
      <c r="R115" s="35"/>
      <c r="S115" s="35"/>
      <c r="T115" s="35"/>
      <c r="U115" s="35"/>
      <c r="W115" s="29"/>
      <c r="X115" s="29"/>
      <c r="Y115" s="29"/>
      <c r="Z115" s="29"/>
      <c r="AA115" s="29"/>
      <c r="AB115" s="48"/>
    </row>
    <row r="116" spans="1:28" s="11" customFormat="1" x14ac:dyDescent="0.35">
      <c r="A116" s="15"/>
      <c r="B116" s="16"/>
      <c r="C116" s="17"/>
      <c r="D116" s="194"/>
      <c r="E116" s="194"/>
      <c r="F116" s="194"/>
      <c r="G116" s="193"/>
      <c r="H116" s="193"/>
      <c r="I116" s="35"/>
      <c r="J116" s="35"/>
      <c r="K116" s="35"/>
      <c r="L116" s="35"/>
      <c r="M116" s="35"/>
      <c r="N116" s="35"/>
      <c r="O116" s="35"/>
      <c r="P116" s="35"/>
      <c r="Q116" s="38"/>
      <c r="R116" s="35"/>
      <c r="S116" s="35"/>
      <c r="T116" s="35"/>
      <c r="U116" s="35"/>
      <c r="W116" s="29"/>
      <c r="X116" s="29"/>
      <c r="Y116" s="29"/>
      <c r="Z116" s="29"/>
      <c r="AA116" s="29"/>
      <c r="AB116" s="48"/>
    </row>
    <row r="117" spans="1:28" s="11" customFormat="1" x14ac:dyDescent="0.35">
      <c r="A117" s="15"/>
      <c r="B117" s="16"/>
      <c r="C117" s="17"/>
      <c r="D117" s="194"/>
      <c r="E117" s="194"/>
      <c r="F117" s="194"/>
      <c r="G117" s="193"/>
      <c r="H117" s="193"/>
      <c r="I117" s="35"/>
      <c r="J117" s="35"/>
      <c r="K117" s="35"/>
      <c r="L117" s="35"/>
      <c r="M117" s="35"/>
      <c r="N117" s="35"/>
      <c r="O117" s="35"/>
      <c r="P117" s="35"/>
      <c r="Q117" s="38"/>
      <c r="R117" s="35"/>
      <c r="S117" s="35"/>
      <c r="T117" s="35"/>
      <c r="U117" s="35"/>
      <c r="W117" s="29"/>
      <c r="X117" s="29"/>
      <c r="Y117" s="29"/>
      <c r="Z117" s="29"/>
      <c r="AA117" s="29"/>
      <c r="AB117" s="48"/>
    </row>
    <row r="118" spans="1:28" s="11" customFormat="1" x14ac:dyDescent="0.35">
      <c r="A118" s="15"/>
      <c r="B118" s="16"/>
      <c r="C118" s="17"/>
      <c r="D118" s="194"/>
      <c r="E118" s="194"/>
      <c r="F118" s="194"/>
      <c r="G118" s="193"/>
      <c r="H118" s="193"/>
      <c r="I118" s="35"/>
      <c r="J118" s="35"/>
      <c r="K118" s="35"/>
      <c r="L118" s="35"/>
      <c r="M118" s="35"/>
      <c r="N118" s="35"/>
      <c r="O118" s="35"/>
      <c r="P118" s="35"/>
      <c r="Q118" s="38"/>
      <c r="R118" s="35"/>
      <c r="S118" s="35"/>
      <c r="T118" s="35"/>
      <c r="U118" s="35"/>
      <c r="W118" s="29"/>
      <c r="X118" s="29"/>
      <c r="Y118" s="29"/>
      <c r="Z118" s="29"/>
      <c r="AA118" s="29"/>
      <c r="AB118" s="48"/>
    </row>
    <row r="119" spans="1:28" s="11" customFormat="1" x14ac:dyDescent="0.35">
      <c r="A119" s="15"/>
      <c r="B119" s="16"/>
      <c r="C119" s="17"/>
      <c r="D119" s="194"/>
      <c r="E119" s="194"/>
      <c r="F119" s="194"/>
      <c r="G119" s="193"/>
      <c r="H119" s="193"/>
      <c r="I119" s="35"/>
      <c r="J119" s="35"/>
      <c r="K119" s="35"/>
      <c r="L119" s="35"/>
      <c r="M119" s="35"/>
      <c r="N119" s="35"/>
      <c r="O119" s="35"/>
      <c r="P119" s="35"/>
      <c r="Q119" s="38"/>
      <c r="R119" s="35"/>
      <c r="S119" s="35"/>
      <c r="T119" s="35"/>
      <c r="U119" s="35"/>
      <c r="W119" s="29"/>
      <c r="X119" s="29"/>
      <c r="Y119" s="29"/>
      <c r="Z119" s="29"/>
      <c r="AA119" s="29"/>
      <c r="AB119" s="48"/>
    </row>
    <row r="120" spans="1:28" s="11" customFormat="1" x14ac:dyDescent="0.35">
      <c r="A120" s="15"/>
      <c r="B120" s="16"/>
      <c r="C120" s="17"/>
      <c r="D120" s="194"/>
      <c r="E120" s="194"/>
      <c r="F120" s="194"/>
      <c r="G120" s="193"/>
      <c r="H120" s="193"/>
      <c r="I120" s="35"/>
      <c r="J120" s="35"/>
      <c r="K120" s="35"/>
      <c r="L120" s="35"/>
      <c r="M120" s="35"/>
      <c r="N120" s="35"/>
      <c r="O120" s="35"/>
      <c r="P120" s="35"/>
      <c r="Q120" s="38"/>
      <c r="R120" s="35"/>
      <c r="S120" s="35"/>
      <c r="T120" s="35"/>
      <c r="U120" s="35"/>
      <c r="W120" s="29"/>
      <c r="X120" s="29"/>
      <c r="Y120" s="29"/>
      <c r="Z120" s="29"/>
      <c r="AA120" s="29"/>
      <c r="AB120" s="48"/>
    </row>
    <row r="121" spans="1:28" s="11" customFormat="1" x14ac:dyDescent="0.35">
      <c r="A121" s="15"/>
      <c r="B121" s="16"/>
      <c r="C121" s="17"/>
      <c r="D121" s="194"/>
      <c r="E121" s="194"/>
      <c r="F121" s="194"/>
      <c r="G121" s="193"/>
      <c r="H121" s="193"/>
      <c r="I121" s="35"/>
      <c r="J121" s="35"/>
      <c r="K121" s="35"/>
      <c r="L121" s="35"/>
      <c r="M121" s="35"/>
      <c r="N121" s="35"/>
      <c r="O121" s="35"/>
      <c r="P121" s="35"/>
      <c r="Q121" s="38"/>
      <c r="R121" s="35"/>
      <c r="S121" s="35"/>
      <c r="T121" s="35"/>
      <c r="U121" s="35"/>
      <c r="W121" s="29"/>
      <c r="X121" s="29"/>
      <c r="Y121" s="29"/>
      <c r="Z121" s="29"/>
      <c r="AA121" s="29"/>
      <c r="AB121" s="48"/>
    </row>
    <row r="122" spans="1:28" s="11" customFormat="1" x14ac:dyDescent="0.35">
      <c r="A122" s="15"/>
      <c r="B122" s="16"/>
      <c r="C122" s="17"/>
      <c r="D122" s="194"/>
      <c r="E122" s="194"/>
      <c r="F122" s="194"/>
      <c r="G122" s="193"/>
      <c r="H122" s="193"/>
      <c r="I122" s="35"/>
      <c r="J122" s="35"/>
      <c r="K122" s="35"/>
      <c r="L122" s="35"/>
      <c r="M122" s="35"/>
      <c r="N122" s="35"/>
      <c r="O122" s="35"/>
      <c r="P122" s="35"/>
      <c r="Q122" s="38"/>
      <c r="R122" s="35"/>
      <c r="S122" s="35"/>
      <c r="T122" s="35"/>
      <c r="U122" s="35"/>
      <c r="W122" s="29"/>
      <c r="X122" s="29"/>
      <c r="Y122" s="29"/>
      <c r="Z122" s="29"/>
      <c r="AA122" s="29"/>
      <c r="AB122" s="48"/>
    </row>
    <row r="123" spans="1:28" s="11" customFormat="1" x14ac:dyDescent="0.35">
      <c r="A123" s="15"/>
      <c r="B123" s="16"/>
      <c r="C123" s="17"/>
      <c r="D123" s="194"/>
      <c r="E123" s="194"/>
      <c r="F123" s="194"/>
      <c r="G123" s="193"/>
      <c r="H123" s="193"/>
      <c r="I123" s="35"/>
      <c r="J123" s="35"/>
      <c r="K123" s="35"/>
      <c r="L123" s="35"/>
      <c r="M123" s="35"/>
      <c r="N123" s="35"/>
      <c r="O123" s="35"/>
      <c r="P123" s="35"/>
      <c r="Q123" s="38"/>
      <c r="R123" s="35"/>
      <c r="S123" s="35"/>
      <c r="T123" s="35"/>
      <c r="U123" s="35"/>
      <c r="W123" s="29"/>
      <c r="X123" s="29"/>
      <c r="Y123" s="29"/>
      <c r="Z123" s="29"/>
      <c r="AA123" s="29"/>
      <c r="AB123" s="48"/>
    </row>
    <row r="124" spans="1:28" s="11" customFormat="1" x14ac:dyDescent="0.35">
      <c r="A124" s="15"/>
      <c r="B124" s="16"/>
      <c r="C124" s="17"/>
      <c r="D124" s="194"/>
      <c r="E124" s="194"/>
      <c r="F124" s="194"/>
      <c r="G124" s="193"/>
      <c r="H124" s="193"/>
      <c r="I124" s="35"/>
      <c r="J124" s="35"/>
      <c r="K124" s="35"/>
      <c r="L124" s="35"/>
      <c r="M124" s="35"/>
      <c r="N124" s="35"/>
      <c r="O124" s="35"/>
      <c r="P124" s="35"/>
      <c r="Q124" s="38"/>
      <c r="R124" s="35"/>
      <c r="S124" s="35"/>
      <c r="T124" s="35"/>
      <c r="U124" s="35"/>
      <c r="W124" s="29"/>
      <c r="X124" s="29"/>
      <c r="Y124" s="29"/>
      <c r="Z124" s="29"/>
      <c r="AA124" s="29"/>
      <c r="AB124" s="48"/>
    </row>
    <row r="125" spans="1:28" s="11" customFormat="1" x14ac:dyDescent="0.35">
      <c r="A125" s="15"/>
      <c r="B125" s="16"/>
      <c r="C125" s="17"/>
      <c r="D125" s="194"/>
      <c r="E125" s="194"/>
      <c r="F125" s="194"/>
      <c r="G125" s="193"/>
      <c r="H125" s="193"/>
      <c r="I125" s="35"/>
      <c r="J125" s="35"/>
      <c r="K125" s="35"/>
      <c r="L125" s="35"/>
      <c r="M125" s="35"/>
      <c r="N125" s="35"/>
      <c r="O125" s="35"/>
      <c r="P125" s="35"/>
      <c r="Q125" s="38"/>
      <c r="R125" s="35"/>
      <c r="S125" s="35"/>
      <c r="T125" s="35"/>
      <c r="U125" s="35"/>
      <c r="W125" s="29"/>
      <c r="X125" s="29"/>
      <c r="Y125" s="29"/>
      <c r="Z125" s="29"/>
      <c r="AA125" s="29"/>
      <c r="AB125" s="48"/>
    </row>
    <row r="126" spans="1:28" s="11" customFormat="1" x14ac:dyDescent="0.35">
      <c r="A126" s="15"/>
      <c r="B126" s="16"/>
      <c r="C126" s="17"/>
      <c r="D126" s="194"/>
      <c r="E126" s="194"/>
      <c r="F126" s="194"/>
      <c r="G126" s="193"/>
      <c r="H126" s="193"/>
      <c r="I126" s="35"/>
      <c r="J126" s="35"/>
      <c r="K126" s="35"/>
      <c r="L126" s="35"/>
      <c r="M126" s="35"/>
      <c r="N126" s="35"/>
      <c r="O126" s="35"/>
      <c r="P126" s="35"/>
      <c r="Q126" s="38"/>
      <c r="R126" s="35"/>
      <c r="S126" s="35"/>
      <c r="T126" s="35"/>
      <c r="U126" s="35"/>
      <c r="W126" s="29"/>
      <c r="X126" s="29"/>
      <c r="Y126" s="29"/>
      <c r="Z126" s="29"/>
      <c r="AA126" s="29"/>
      <c r="AB126" s="48"/>
    </row>
    <row r="127" spans="1:28" s="11" customFormat="1" x14ac:dyDescent="0.35">
      <c r="A127" s="15"/>
      <c r="B127" s="16"/>
      <c r="C127" s="17"/>
      <c r="D127" s="194"/>
      <c r="E127" s="194"/>
      <c r="F127" s="194"/>
      <c r="G127" s="193"/>
      <c r="H127" s="193"/>
      <c r="I127" s="35"/>
      <c r="J127" s="35"/>
      <c r="K127" s="35"/>
      <c r="L127" s="35"/>
      <c r="M127" s="35"/>
      <c r="N127" s="35"/>
      <c r="O127" s="35"/>
      <c r="P127" s="35"/>
      <c r="Q127" s="38"/>
      <c r="R127" s="35"/>
      <c r="S127" s="35"/>
      <c r="T127" s="35"/>
      <c r="U127" s="35"/>
      <c r="W127" s="29"/>
      <c r="X127" s="29"/>
      <c r="Y127" s="29"/>
      <c r="Z127" s="29"/>
      <c r="AA127" s="29"/>
      <c r="AB127" s="48"/>
    </row>
    <row r="128" spans="1:28" s="11" customFormat="1" x14ac:dyDescent="0.35">
      <c r="A128" s="15"/>
      <c r="B128" s="16"/>
      <c r="C128" s="17"/>
      <c r="D128" s="194"/>
      <c r="E128" s="194"/>
      <c r="F128" s="194"/>
      <c r="G128" s="193"/>
      <c r="H128" s="193"/>
      <c r="I128" s="35"/>
      <c r="J128" s="35"/>
      <c r="K128" s="35"/>
      <c r="L128" s="35"/>
      <c r="M128" s="35"/>
      <c r="N128" s="35"/>
      <c r="O128" s="35"/>
      <c r="P128" s="35"/>
      <c r="Q128" s="38"/>
      <c r="R128" s="35"/>
      <c r="S128" s="35"/>
      <c r="T128" s="35"/>
      <c r="U128" s="35"/>
      <c r="W128" s="29"/>
      <c r="X128" s="29"/>
      <c r="Y128" s="29"/>
      <c r="Z128" s="29"/>
      <c r="AA128" s="29"/>
      <c r="AB128" s="48"/>
    </row>
    <row r="129" spans="1:28" s="11" customFormat="1" x14ac:dyDescent="0.35">
      <c r="A129" s="15"/>
      <c r="B129" s="16"/>
      <c r="C129" s="17"/>
      <c r="D129" s="194"/>
      <c r="E129" s="194"/>
      <c r="F129" s="194"/>
      <c r="G129" s="193"/>
      <c r="H129" s="193"/>
      <c r="I129" s="35"/>
      <c r="J129" s="35"/>
      <c r="K129" s="35"/>
      <c r="L129" s="35"/>
      <c r="M129" s="35"/>
      <c r="N129" s="35"/>
      <c r="O129" s="35"/>
      <c r="P129" s="35"/>
      <c r="Q129" s="38"/>
      <c r="R129" s="35"/>
      <c r="S129" s="35"/>
      <c r="T129" s="35"/>
      <c r="U129" s="35"/>
      <c r="W129" s="29"/>
      <c r="X129" s="29"/>
      <c r="Y129" s="29"/>
      <c r="Z129" s="29"/>
      <c r="AA129" s="29"/>
      <c r="AB129" s="48"/>
    </row>
    <row r="130" spans="1:28" s="11" customFormat="1" x14ac:dyDescent="0.35">
      <c r="A130" s="15"/>
      <c r="B130" s="16"/>
      <c r="C130" s="17"/>
      <c r="D130" s="194"/>
      <c r="E130" s="194"/>
      <c r="F130" s="194"/>
      <c r="G130" s="193"/>
      <c r="H130" s="193"/>
      <c r="I130" s="35"/>
      <c r="J130" s="35"/>
      <c r="K130" s="35"/>
      <c r="L130" s="35"/>
      <c r="M130" s="35"/>
      <c r="N130" s="35"/>
      <c r="O130" s="35"/>
      <c r="P130" s="35"/>
      <c r="Q130" s="38"/>
      <c r="R130" s="35"/>
      <c r="S130" s="35"/>
      <c r="T130" s="35"/>
      <c r="U130" s="35"/>
      <c r="W130" s="29"/>
      <c r="X130" s="29"/>
      <c r="Y130" s="29"/>
      <c r="Z130" s="29"/>
      <c r="AA130" s="29"/>
      <c r="AB130" s="48"/>
    </row>
    <row r="131" spans="1:28" s="11" customFormat="1" x14ac:dyDescent="0.35">
      <c r="A131" s="15"/>
      <c r="B131" s="16"/>
      <c r="C131" s="17"/>
      <c r="D131" s="194"/>
      <c r="E131" s="194"/>
      <c r="F131" s="194"/>
      <c r="G131" s="193"/>
      <c r="H131" s="193"/>
      <c r="I131" s="35"/>
      <c r="J131" s="35"/>
      <c r="K131" s="35"/>
      <c r="L131" s="35"/>
      <c r="M131" s="35"/>
      <c r="N131" s="35"/>
      <c r="O131" s="35"/>
      <c r="P131" s="35"/>
      <c r="Q131" s="38"/>
      <c r="R131" s="35"/>
      <c r="S131" s="35"/>
      <c r="T131" s="35"/>
      <c r="U131" s="35"/>
      <c r="W131" s="29"/>
      <c r="X131" s="29"/>
      <c r="Y131" s="29"/>
      <c r="Z131" s="29"/>
      <c r="AA131" s="29"/>
      <c r="AB131" s="48"/>
    </row>
    <row r="132" spans="1:28" s="11" customFormat="1" x14ac:dyDescent="0.35">
      <c r="A132" s="15"/>
      <c r="B132" s="16"/>
      <c r="C132" s="17"/>
      <c r="D132" s="194"/>
      <c r="E132" s="194"/>
      <c r="F132" s="194"/>
      <c r="G132" s="193"/>
      <c r="H132" s="193"/>
      <c r="I132" s="35"/>
      <c r="J132" s="35"/>
      <c r="K132" s="35"/>
      <c r="L132" s="35"/>
      <c r="M132" s="35"/>
      <c r="N132" s="35"/>
      <c r="O132" s="35"/>
      <c r="P132" s="35"/>
      <c r="Q132" s="38"/>
      <c r="R132" s="35"/>
      <c r="S132" s="35"/>
      <c r="T132" s="35"/>
      <c r="U132" s="35"/>
      <c r="W132" s="29"/>
      <c r="X132" s="29"/>
      <c r="Y132" s="29"/>
      <c r="Z132" s="29"/>
      <c r="AA132" s="29"/>
      <c r="AB132" s="48"/>
    </row>
    <row r="133" spans="1:28" s="11" customFormat="1" x14ac:dyDescent="0.35">
      <c r="A133" s="15"/>
      <c r="B133" s="16"/>
      <c r="C133" s="17"/>
      <c r="D133" s="194"/>
      <c r="E133" s="194"/>
      <c r="F133" s="194"/>
      <c r="G133" s="193"/>
      <c r="H133" s="193"/>
      <c r="I133" s="35"/>
      <c r="J133" s="35"/>
      <c r="K133" s="35"/>
      <c r="L133" s="35"/>
      <c r="M133" s="35"/>
      <c r="N133" s="35"/>
      <c r="O133" s="35"/>
      <c r="P133" s="35"/>
      <c r="Q133" s="38"/>
      <c r="R133" s="35"/>
      <c r="S133" s="35"/>
      <c r="T133" s="35"/>
      <c r="U133" s="35"/>
      <c r="W133" s="29"/>
      <c r="X133" s="29"/>
      <c r="Y133" s="29"/>
      <c r="Z133" s="29"/>
      <c r="AA133" s="29"/>
      <c r="AB133" s="48"/>
    </row>
    <row r="134" spans="1:28" s="11" customFormat="1" x14ac:dyDescent="0.35">
      <c r="A134" s="15"/>
      <c r="B134" s="16"/>
      <c r="C134" s="17"/>
      <c r="D134" s="194"/>
      <c r="E134" s="194"/>
      <c r="F134" s="194"/>
      <c r="G134" s="193"/>
      <c r="H134" s="193"/>
      <c r="I134" s="35"/>
      <c r="J134" s="35"/>
      <c r="K134" s="35"/>
      <c r="L134" s="35"/>
      <c r="M134" s="35"/>
      <c r="N134" s="35"/>
      <c r="O134" s="35"/>
      <c r="P134" s="35"/>
      <c r="Q134" s="38"/>
      <c r="R134" s="35"/>
      <c r="S134" s="35"/>
      <c r="T134" s="35"/>
      <c r="U134" s="35"/>
      <c r="W134" s="29"/>
      <c r="X134" s="29"/>
      <c r="Y134" s="29"/>
      <c r="Z134" s="29"/>
      <c r="AA134" s="29"/>
      <c r="AB134" s="48"/>
    </row>
    <row r="135" spans="1:28" s="11" customFormat="1" x14ac:dyDescent="0.35">
      <c r="A135" s="15"/>
      <c r="B135" s="16"/>
      <c r="C135" s="17"/>
      <c r="D135" s="194"/>
      <c r="E135" s="194"/>
      <c r="F135" s="194"/>
      <c r="G135" s="193"/>
      <c r="H135" s="193"/>
      <c r="I135" s="35"/>
      <c r="J135" s="35"/>
      <c r="K135" s="35"/>
      <c r="L135" s="35"/>
      <c r="M135" s="35"/>
      <c r="N135" s="35"/>
      <c r="O135" s="35"/>
      <c r="P135" s="35"/>
      <c r="Q135" s="38"/>
      <c r="R135" s="35"/>
      <c r="S135" s="35"/>
      <c r="T135" s="35"/>
      <c r="U135" s="35"/>
      <c r="W135" s="29"/>
      <c r="X135" s="29"/>
      <c r="Y135" s="29"/>
      <c r="Z135" s="29"/>
      <c r="AA135" s="29"/>
      <c r="AB135" s="48"/>
    </row>
    <row r="136" spans="1:28" s="11" customFormat="1" x14ac:dyDescent="0.35">
      <c r="A136" s="15"/>
      <c r="B136" s="16"/>
      <c r="C136" s="17"/>
      <c r="D136" s="194"/>
      <c r="E136" s="194"/>
      <c r="F136" s="194"/>
      <c r="G136" s="193"/>
      <c r="H136" s="193"/>
      <c r="I136" s="35"/>
      <c r="J136" s="35"/>
      <c r="K136" s="35"/>
      <c r="L136" s="35"/>
      <c r="M136" s="35"/>
      <c r="N136" s="35"/>
      <c r="O136" s="35"/>
      <c r="P136" s="35"/>
      <c r="Q136" s="38"/>
      <c r="R136" s="35"/>
      <c r="S136" s="35"/>
      <c r="T136" s="35"/>
      <c r="U136" s="35"/>
      <c r="W136" s="29"/>
      <c r="X136" s="29"/>
      <c r="Y136" s="29"/>
      <c r="Z136" s="29"/>
      <c r="AA136" s="29"/>
      <c r="AB136" s="48"/>
    </row>
    <row r="137" spans="1:28" s="11" customFormat="1" x14ac:dyDescent="0.35">
      <c r="A137" s="15"/>
      <c r="B137" s="16"/>
      <c r="C137" s="17"/>
      <c r="D137" s="194"/>
      <c r="E137" s="194"/>
      <c r="F137" s="194"/>
      <c r="G137" s="193"/>
      <c r="H137" s="193"/>
      <c r="I137" s="35"/>
      <c r="J137" s="35"/>
      <c r="K137" s="35"/>
      <c r="L137" s="35"/>
      <c r="M137" s="35"/>
      <c r="N137" s="35"/>
      <c r="O137" s="35"/>
      <c r="P137" s="35"/>
      <c r="Q137" s="38"/>
      <c r="R137" s="35"/>
      <c r="S137" s="35"/>
      <c r="T137" s="35"/>
      <c r="U137" s="35"/>
      <c r="W137" s="29"/>
      <c r="X137" s="29"/>
      <c r="Y137" s="29"/>
      <c r="Z137" s="29"/>
      <c r="AA137" s="29"/>
      <c r="AB137" s="48"/>
    </row>
    <row r="138" spans="1:28" s="11" customFormat="1" x14ac:dyDescent="0.35">
      <c r="A138" s="15"/>
      <c r="B138" s="16"/>
      <c r="C138" s="17"/>
      <c r="D138" s="194"/>
      <c r="E138" s="194"/>
      <c r="F138" s="194"/>
      <c r="G138" s="193"/>
      <c r="H138" s="193"/>
      <c r="I138" s="35"/>
      <c r="J138" s="35"/>
      <c r="K138" s="35"/>
      <c r="L138" s="35"/>
      <c r="M138" s="35"/>
      <c r="N138" s="35"/>
      <c r="O138" s="35"/>
      <c r="P138" s="35"/>
      <c r="Q138" s="38"/>
      <c r="R138" s="35"/>
      <c r="S138" s="35"/>
      <c r="T138" s="35"/>
      <c r="U138" s="35"/>
      <c r="W138" s="29"/>
      <c r="X138" s="29"/>
      <c r="Y138" s="29"/>
      <c r="Z138" s="29"/>
      <c r="AA138" s="29"/>
      <c r="AB138" s="48"/>
    </row>
    <row r="139" spans="1:28" s="11" customFormat="1" x14ac:dyDescent="0.35">
      <c r="A139" s="15"/>
      <c r="B139" s="16"/>
      <c r="C139" s="17"/>
      <c r="D139" s="194"/>
      <c r="E139" s="194"/>
      <c r="F139" s="194"/>
      <c r="G139" s="193"/>
      <c r="H139" s="193"/>
      <c r="I139" s="35"/>
      <c r="J139" s="35"/>
      <c r="K139" s="35"/>
      <c r="L139" s="35"/>
      <c r="M139" s="35"/>
      <c r="N139" s="35"/>
      <c r="O139" s="35"/>
      <c r="P139" s="35"/>
      <c r="Q139" s="38"/>
      <c r="R139" s="35"/>
      <c r="S139" s="35"/>
      <c r="T139" s="35"/>
      <c r="U139" s="35"/>
      <c r="W139" s="29"/>
      <c r="X139" s="29"/>
      <c r="Y139" s="29"/>
      <c r="Z139" s="29"/>
      <c r="AA139" s="29"/>
      <c r="AB139" s="48"/>
    </row>
    <row r="140" spans="1:28" s="11" customFormat="1" x14ac:dyDescent="0.35">
      <c r="A140" s="15"/>
      <c r="B140" s="16"/>
      <c r="C140" s="17"/>
      <c r="D140" s="194"/>
      <c r="E140" s="194"/>
      <c r="F140" s="194"/>
      <c r="G140" s="193"/>
      <c r="H140" s="193"/>
      <c r="I140" s="35"/>
      <c r="J140" s="35"/>
      <c r="K140" s="35"/>
      <c r="L140" s="35"/>
      <c r="M140" s="35"/>
      <c r="N140" s="35"/>
      <c r="O140" s="35"/>
      <c r="P140" s="35"/>
      <c r="Q140" s="38"/>
      <c r="R140" s="35"/>
      <c r="S140" s="35"/>
      <c r="T140" s="35"/>
      <c r="U140" s="35"/>
      <c r="W140" s="29"/>
      <c r="X140" s="29"/>
      <c r="Y140" s="29"/>
      <c r="Z140" s="29"/>
      <c r="AA140" s="29"/>
      <c r="AB140" s="48"/>
    </row>
    <row r="141" spans="1:28" s="11" customFormat="1" x14ac:dyDescent="0.35">
      <c r="A141" s="15"/>
      <c r="B141" s="16"/>
      <c r="C141" s="17"/>
      <c r="D141" s="194"/>
      <c r="E141" s="194"/>
      <c r="F141" s="194"/>
      <c r="G141" s="193"/>
      <c r="H141" s="193"/>
      <c r="I141" s="35"/>
      <c r="J141" s="35"/>
      <c r="K141" s="35"/>
      <c r="L141" s="35"/>
      <c r="M141" s="35"/>
      <c r="N141" s="35"/>
      <c r="O141" s="35"/>
      <c r="P141" s="35"/>
      <c r="Q141" s="38"/>
      <c r="R141" s="35"/>
      <c r="S141" s="35"/>
      <c r="T141" s="35"/>
      <c r="U141" s="35"/>
      <c r="W141" s="29"/>
      <c r="X141" s="29"/>
      <c r="Y141" s="29"/>
      <c r="Z141" s="29"/>
      <c r="AA141" s="29"/>
      <c r="AB141" s="48"/>
    </row>
    <row r="142" spans="1:28" s="11" customFormat="1" x14ac:dyDescent="0.35">
      <c r="A142" s="15"/>
      <c r="B142" s="16"/>
      <c r="C142" s="17"/>
      <c r="D142" s="194"/>
      <c r="E142" s="194"/>
      <c r="F142" s="194"/>
      <c r="G142" s="193"/>
      <c r="H142" s="193"/>
      <c r="I142" s="35"/>
      <c r="J142" s="35"/>
      <c r="K142" s="35"/>
      <c r="L142" s="35"/>
      <c r="M142" s="35"/>
      <c r="N142" s="35"/>
      <c r="O142" s="35"/>
      <c r="P142" s="35"/>
      <c r="Q142" s="38"/>
      <c r="R142" s="35"/>
      <c r="S142" s="35"/>
      <c r="T142" s="35"/>
      <c r="U142" s="35"/>
      <c r="W142" s="29"/>
      <c r="X142" s="29"/>
      <c r="Y142" s="29"/>
      <c r="Z142" s="29"/>
      <c r="AA142" s="29"/>
      <c r="AB142" s="48"/>
    </row>
    <row r="143" spans="1:28" s="11" customFormat="1" x14ac:dyDescent="0.35">
      <c r="A143" s="15"/>
      <c r="B143" s="16"/>
      <c r="C143" s="17"/>
      <c r="D143" s="194"/>
      <c r="E143" s="194"/>
      <c r="F143" s="194"/>
      <c r="G143" s="193"/>
      <c r="H143" s="193"/>
      <c r="I143" s="35"/>
      <c r="J143" s="35"/>
      <c r="K143" s="35"/>
      <c r="L143" s="35"/>
      <c r="M143" s="35"/>
      <c r="N143" s="35"/>
      <c r="O143" s="35"/>
      <c r="P143" s="35"/>
      <c r="Q143" s="38"/>
      <c r="R143" s="35"/>
      <c r="S143" s="35"/>
      <c r="T143" s="35"/>
      <c r="U143" s="35"/>
      <c r="W143" s="29"/>
      <c r="X143" s="29"/>
      <c r="Y143" s="29"/>
      <c r="Z143" s="29"/>
      <c r="AA143" s="29"/>
      <c r="AB143" s="48"/>
    </row>
    <row r="144" spans="1:28" s="11" customFormat="1" x14ac:dyDescent="0.35">
      <c r="A144" s="15"/>
      <c r="B144" s="16"/>
      <c r="C144" s="17"/>
      <c r="D144" s="194"/>
      <c r="E144" s="194"/>
      <c r="F144" s="194"/>
      <c r="G144" s="193"/>
      <c r="H144" s="193"/>
      <c r="I144" s="35"/>
      <c r="J144" s="35"/>
      <c r="K144" s="35"/>
      <c r="L144" s="35"/>
      <c r="M144" s="35"/>
      <c r="N144" s="35"/>
      <c r="O144" s="35"/>
      <c r="P144" s="35"/>
      <c r="Q144" s="38"/>
      <c r="R144" s="35"/>
      <c r="S144" s="35"/>
      <c r="T144" s="35"/>
      <c r="U144" s="35"/>
      <c r="W144" s="29"/>
      <c r="X144" s="29"/>
      <c r="Y144" s="29"/>
      <c r="Z144" s="29"/>
      <c r="AA144" s="29"/>
      <c r="AB144" s="48"/>
    </row>
    <row r="145" spans="1:28" s="11" customFormat="1" x14ac:dyDescent="0.35">
      <c r="A145" s="15"/>
      <c r="B145" s="16"/>
      <c r="C145" s="17"/>
      <c r="D145" s="194"/>
      <c r="E145" s="194"/>
      <c r="F145" s="194"/>
      <c r="G145" s="193"/>
      <c r="H145" s="193"/>
      <c r="I145" s="35"/>
      <c r="J145" s="35"/>
      <c r="K145" s="35"/>
      <c r="L145" s="35"/>
      <c r="M145" s="35"/>
      <c r="N145" s="35"/>
      <c r="O145" s="35"/>
      <c r="P145" s="35"/>
      <c r="Q145" s="38"/>
      <c r="R145" s="35"/>
      <c r="S145" s="35"/>
      <c r="T145" s="35"/>
      <c r="U145" s="35"/>
      <c r="W145" s="29"/>
      <c r="X145" s="29"/>
      <c r="Y145" s="29"/>
      <c r="Z145" s="29"/>
      <c r="AA145" s="29"/>
      <c r="AB145" s="48"/>
    </row>
    <row r="146" spans="1:28" s="11" customFormat="1" x14ac:dyDescent="0.35">
      <c r="A146" s="15"/>
      <c r="B146" s="16"/>
      <c r="C146" s="17"/>
      <c r="D146" s="194"/>
      <c r="E146" s="194"/>
      <c r="F146" s="194"/>
      <c r="G146" s="193"/>
      <c r="H146" s="193"/>
      <c r="I146" s="35"/>
      <c r="J146" s="35"/>
      <c r="K146" s="35"/>
      <c r="L146" s="35"/>
      <c r="M146" s="35"/>
      <c r="N146" s="35"/>
      <c r="O146" s="35"/>
      <c r="P146" s="35"/>
      <c r="Q146" s="38"/>
      <c r="R146" s="35"/>
      <c r="S146" s="35"/>
      <c r="T146" s="35"/>
      <c r="U146" s="35"/>
      <c r="W146" s="29"/>
      <c r="X146" s="29"/>
      <c r="Y146" s="29"/>
      <c r="Z146" s="29"/>
      <c r="AA146" s="29"/>
      <c r="AB146" s="48"/>
    </row>
    <row r="147" spans="1:28" s="11" customFormat="1" x14ac:dyDescent="0.35">
      <c r="A147" s="15"/>
      <c r="B147" s="16"/>
      <c r="C147" s="17"/>
      <c r="D147" s="194"/>
      <c r="E147" s="194"/>
      <c r="F147" s="194"/>
      <c r="G147" s="193"/>
      <c r="H147" s="193"/>
      <c r="I147" s="35"/>
      <c r="J147" s="35"/>
      <c r="K147" s="35"/>
      <c r="L147" s="35"/>
      <c r="M147" s="35"/>
      <c r="N147" s="35"/>
      <c r="O147" s="35"/>
      <c r="P147" s="35"/>
      <c r="Q147" s="38"/>
      <c r="R147" s="35"/>
      <c r="S147" s="35"/>
      <c r="T147" s="35"/>
      <c r="U147" s="35"/>
      <c r="W147" s="29"/>
      <c r="X147" s="29"/>
      <c r="Y147" s="29"/>
      <c r="Z147" s="29"/>
      <c r="AA147" s="29"/>
      <c r="AB147" s="48"/>
    </row>
    <row r="148" spans="1:28" s="11" customFormat="1" x14ac:dyDescent="0.35">
      <c r="A148" s="15"/>
      <c r="B148" s="16"/>
      <c r="C148" s="17"/>
      <c r="D148" s="194"/>
      <c r="E148" s="194"/>
      <c r="F148" s="194"/>
      <c r="G148" s="193"/>
      <c r="H148" s="193"/>
      <c r="I148" s="35"/>
      <c r="J148" s="35"/>
      <c r="K148" s="35"/>
      <c r="L148" s="35"/>
      <c r="M148" s="35"/>
      <c r="N148" s="35"/>
      <c r="O148" s="35"/>
      <c r="P148" s="35"/>
      <c r="Q148" s="38"/>
      <c r="R148" s="35"/>
      <c r="S148" s="35"/>
      <c r="T148" s="35"/>
      <c r="U148" s="35"/>
      <c r="W148" s="29"/>
      <c r="X148" s="29"/>
      <c r="Y148" s="29"/>
      <c r="Z148" s="29"/>
      <c r="AA148" s="29"/>
      <c r="AB148" s="48"/>
    </row>
    <row r="149" spans="1:28" s="11" customFormat="1" x14ac:dyDescent="0.35">
      <c r="A149" s="15"/>
      <c r="B149" s="16"/>
      <c r="C149" s="17"/>
      <c r="D149" s="194"/>
      <c r="E149" s="194"/>
      <c r="F149" s="194"/>
      <c r="G149" s="193"/>
      <c r="H149" s="193"/>
      <c r="I149" s="35"/>
      <c r="J149" s="35"/>
      <c r="K149" s="35"/>
      <c r="L149" s="35"/>
      <c r="M149" s="35"/>
      <c r="N149" s="35"/>
      <c r="O149" s="35"/>
      <c r="P149" s="35"/>
      <c r="Q149" s="38"/>
      <c r="R149" s="35"/>
      <c r="S149" s="35"/>
      <c r="T149" s="35"/>
      <c r="U149" s="35"/>
      <c r="W149" s="29"/>
      <c r="X149" s="29"/>
      <c r="Y149" s="29"/>
      <c r="Z149" s="29"/>
      <c r="AA149" s="29"/>
      <c r="AB149" s="48"/>
    </row>
    <row r="150" spans="1:28" s="11" customFormat="1" x14ac:dyDescent="0.35">
      <c r="A150" s="15"/>
      <c r="B150" s="16"/>
      <c r="C150" s="17"/>
      <c r="D150" s="194"/>
      <c r="E150" s="194"/>
      <c r="F150" s="194"/>
      <c r="G150" s="193"/>
      <c r="H150" s="193"/>
      <c r="I150" s="35"/>
      <c r="J150" s="35"/>
      <c r="K150" s="35"/>
      <c r="L150" s="35"/>
      <c r="M150" s="35"/>
      <c r="N150" s="35"/>
      <c r="O150" s="35"/>
      <c r="P150" s="35"/>
      <c r="Q150" s="38"/>
      <c r="R150" s="35"/>
      <c r="S150" s="35"/>
      <c r="T150" s="35"/>
      <c r="U150" s="35"/>
      <c r="W150" s="29"/>
      <c r="X150" s="29"/>
      <c r="Y150" s="29"/>
      <c r="Z150" s="29"/>
      <c r="AA150" s="29"/>
      <c r="AB150" s="48"/>
    </row>
    <row r="151" spans="1:28" s="11" customFormat="1" x14ac:dyDescent="0.35">
      <c r="A151" s="15"/>
      <c r="B151" s="16"/>
      <c r="C151" s="17"/>
      <c r="D151" s="194"/>
      <c r="E151" s="194"/>
      <c r="F151" s="194"/>
      <c r="G151" s="193"/>
      <c r="H151" s="193"/>
      <c r="I151" s="35"/>
      <c r="J151" s="35"/>
      <c r="K151" s="35"/>
      <c r="L151" s="35"/>
      <c r="M151" s="35"/>
      <c r="N151" s="35"/>
      <c r="O151" s="35"/>
      <c r="P151" s="35"/>
      <c r="Q151" s="38"/>
      <c r="R151" s="35"/>
      <c r="S151" s="35"/>
      <c r="T151" s="35"/>
      <c r="U151" s="35"/>
      <c r="W151" s="29"/>
      <c r="X151" s="29"/>
      <c r="Y151" s="29"/>
      <c r="Z151" s="29"/>
      <c r="AA151" s="29"/>
      <c r="AB151" s="48"/>
    </row>
    <row r="152" spans="1:28" s="11" customFormat="1" x14ac:dyDescent="0.35">
      <c r="A152" s="15"/>
      <c r="B152" s="16"/>
      <c r="C152" s="17"/>
      <c r="D152" s="194"/>
      <c r="E152" s="194"/>
      <c r="F152" s="194"/>
      <c r="G152" s="193"/>
      <c r="H152" s="193"/>
      <c r="I152" s="35"/>
      <c r="J152" s="35"/>
      <c r="K152" s="35"/>
      <c r="L152" s="35"/>
      <c r="M152" s="35"/>
      <c r="N152" s="35"/>
      <c r="O152" s="35"/>
      <c r="P152" s="35"/>
      <c r="Q152" s="38"/>
      <c r="R152" s="35"/>
      <c r="S152" s="35"/>
      <c r="T152" s="35"/>
      <c r="U152" s="35"/>
      <c r="W152" s="29"/>
      <c r="X152" s="29"/>
      <c r="Y152" s="29"/>
      <c r="Z152" s="29"/>
      <c r="AA152" s="29"/>
      <c r="AB152" s="48"/>
    </row>
    <row r="153" spans="1:28" s="11" customFormat="1" x14ac:dyDescent="0.35">
      <c r="A153" s="15"/>
      <c r="B153" s="16"/>
      <c r="C153" s="17"/>
      <c r="D153" s="194"/>
      <c r="E153" s="194"/>
      <c r="F153" s="194"/>
      <c r="G153" s="193"/>
      <c r="H153" s="193"/>
      <c r="I153" s="35"/>
      <c r="J153" s="35"/>
      <c r="K153" s="35"/>
      <c r="L153" s="35"/>
      <c r="M153" s="35"/>
      <c r="N153" s="35"/>
      <c r="O153" s="35"/>
      <c r="P153" s="35"/>
      <c r="Q153" s="38"/>
      <c r="R153" s="35"/>
      <c r="S153" s="35"/>
      <c r="T153" s="35"/>
      <c r="U153" s="35"/>
      <c r="W153" s="29"/>
      <c r="X153" s="29"/>
      <c r="Y153" s="29"/>
      <c r="Z153" s="29"/>
      <c r="AA153" s="29"/>
      <c r="AB153" s="48"/>
    </row>
    <row r="154" spans="1:28" s="11" customFormat="1" x14ac:dyDescent="0.35">
      <c r="A154" s="15"/>
      <c r="B154" s="16"/>
      <c r="C154" s="17"/>
      <c r="D154" s="194"/>
      <c r="E154" s="194"/>
      <c r="F154" s="194"/>
      <c r="G154" s="193"/>
      <c r="H154" s="193"/>
      <c r="I154" s="35"/>
      <c r="J154" s="35"/>
      <c r="K154" s="35"/>
      <c r="L154" s="35"/>
      <c r="M154" s="35"/>
      <c r="N154" s="35"/>
      <c r="O154" s="35"/>
      <c r="P154" s="35"/>
      <c r="Q154" s="38"/>
      <c r="R154" s="35"/>
      <c r="S154" s="35"/>
      <c r="T154" s="35"/>
      <c r="U154" s="35"/>
      <c r="W154" s="29"/>
      <c r="X154" s="29"/>
      <c r="Y154" s="29"/>
      <c r="Z154" s="29"/>
      <c r="AA154" s="29"/>
      <c r="AB154" s="48"/>
    </row>
    <row r="155" spans="1:28" s="11" customFormat="1" x14ac:dyDescent="0.35">
      <c r="A155" s="15"/>
      <c r="B155" s="16"/>
      <c r="C155" s="17"/>
      <c r="D155" s="194"/>
      <c r="E155" s="194"/>
      <c r="F155" s="194"/>
      <c r="G155" s="193"/>
      <c r="H155" s="193"/>
      <c r="I155" s="35"/>
      <c r="J155" s="35"/>
      <c r="K155" s="35"/>
      <c r="L155" s="35"/>
      <c r="M155" s="35"/>
      <c r="N155" s="35"/>
      <c r="O155" s="35"/>
      <c r="P155" s="35"/>
      <c r="Q155" s="38"/>
      <c r="R155" s="35"/>
      <c r="S155" s="35"/>
      <c r="T155" s="35"/>
      <c r="U155" s="35"/>
      <c r="W155" s="29"/>
      <c r="X155" s="29"/>
      <c r="Y155" s="29"/>
      <c r="Z155" s="29"/>
      <c r="AA155" s="29"/>
      <c r="AB155" s="48"/>
    </row>
    <row r="156" spans="1:28" s="11" customFormat="1" x14ac:dyDescent="0.35">
      <c r="A156" s="15"/>
      <c r="B156" s="16"/>
      <c r="C156" s="17"/>
      <c r="D156" s="194"/>
      <c r="E156" s="194"/>
      <c r="F156" s="194"/>
      <c r="G156" s="193"/>
      <c r="H156" s="193"/>
      <c r="I156" s="35"/>
      <c r="J156" s="35"/>
      <c r="K156" s="35"/>
      <c r="L156" s="35"/>
      <c r="M156" s="35"/>
      <c r="N156" s="35"/>
      <c r="O156" s="35"/>
      <c r="P156" s="35"/>
      <c r="Q156" s="38"/>
      <c r="R156" s="35"/>
      <c r="S156" s="35"/>
      <c r="T156" s="35"/>
      <c r="U156" s="35"/>
      <c r="W156" s="29"/>
      <c r="X156" s="29"/>
      <c r="Y156" s="29"/>
      <c r="Z156" s="29"/>
      <c r="AA156" s="29"/>
      <c r="AB156" s="48"/>
    </row>
    <row r="157" spans="1:28" s="11" customFormat="1" x14ac:dyDescent="0.35">
      <c r="A157" s="15"/>
      <c r="B157" s="16"/>
      <c r="C157" s="17"/>
      <c r="D157" s="194"/>
      <c r="E157" s="194"/>
      <c r="F157" s="194"/>
      <c r="G157" s="193"/>
      <c r="H157" s="193"/>
      <c r="I157" s="35"/>
      <c r="J157" s="35"/>
      <c r="K157" s="35"/>
      <c r="L157" s="35"/>
      <c r="M157" s="35"/>
      <c r="N157" s="35"/>
      <c r="O157" s="35"/>
      <c r="P157" s="35"/>
      <c r="Q157" s="38"/>
      <c r="R157" s="35"/>
      <c r="S157" s="35"/>
      <c r="T157" s="35"/>
      <c r="U157" s="35"/>
      <c r="W157" s="29"/>
      <c r="X157" s="29"/>
      <c r="Y157" s="29"/>
      <c r="Z157" s="29"/>
      <c r="AA157" s="29"/>
      <c r="AB157" s="48"/>
    </row>
    <row r="158" spans="1:28" s="11" customFormat="1" x14ac:dyDescent="0.35">
      <c r="A158" s="15"/>
      <c r="B158" s="16"/>
      <c r="C158" s="17"/>
      <c r="D158" s="194"/>
      <c r="E158" s="194"/>
      <c r="F158" s="194"/>
      <c r="G158" s="193"/>
      <c r="H158" s="193"/>
      <c r="I158" s="35"/>
      <c r="J158" s="35"/>
      <c r="K158" s="35"/>
      <c r="L158" s="35"/>
      <c r="M158" s="35"/>
      <c r="N158" s="35"/>
      <c r="O158" s="35"/>
      <c r="P158" s="35"/>
      <c r="Q158" s="38"/>
      <c r="R158" s="35"/>
      <c r="S158" s="35"/>
      <c r="T158" s="35"/>
      <c r="U158" s="35"/>
      <c r="W158" s="29"/>
      <c r="X158" s="29"/>
      <c r="Y158" s="29"/>
      <c r="Z158" s="29"/>
      <c r="AA158" s="29"/>
      <c r="AB158" s="48"/>
    </row>
    <row r="159" spans="1:28" s="11" customFormat="1" x14ac:dyDescent="0.35">
      <c r="A159" s="15"/>
      <c r="B159" s="16"/>
      <c r="C159" s="17"/>
      <c r="D159" s="194"/>
      <c r="E159" s="194"/>
      <c r="F159" s="194"/>
      <c r="G159" s="193"/>
      <c r="H159" s="193"/>
      <c r="I159" s="35"/>
      <c r="J159" s="35"/>
      <c r="K159" s="35"/>
      <c r="L159" s="35"/>
      <c r="M159" s="35"/>
      <c r="N159" s="35"/>
      <c r="O159" s="35"/>
      <c r="P159" s="35"/>
      <c r="Q159" s="38"/>
      <c r="R159" s="35"/>
      <c r="S159" s="35"/>
      <c r="T159" s="35"/>
      <c r="U159" s="35"/>
      <c r="W159" s="29"/>
      <c r="X159" s="29"/>
      <c r="Y159" s="29"/>
      <c r="Z159" s="29"/>
      <c r="AA159" s="29"/>
      <c r="AB159" s="48"/>
    </row>
    <row r="160" spans="1:28" s="11" customFormat="1" x14ac:dyDescent="0.35">
      <c r="A160" s="15"/>
      <c r="B160" s="16"/>
      <c r="C160" s="17"/>
      <c r="D160" s="194"/>
      <c r="E160" s="194"/>
      <c r="F160" s="194"/>
      <c r="G160" s="193"/>
      <c r="H160" s="193"/>
      <c r="I160" s="35"/>
      <c r="J160" s="35"/>
      <c r="K160" s="35"/>
      <c r="L160" s="35"/>
      <c r="M160" s="35"/>
      <c r="N160" s="35"/>
      <c r="O160" s="35"/>
      <c r="P160" s="35"/>
      <c r="Q160" s="38"/>
      <c r="R160" s="35"/>
      <c r="S160" s="35"/>
      <c r="T160" s="35"/>
      <c r="U160" s="35"/>
      <c r="W160" s="29"/>
      <c r="X160" s="29"/>
      <c r="Y160" s="29"/>
      <c r="Z160" s="29"/>
      <c r="AA160" s="29"/>
      <c r="AB160" s="48"/>
    </row>
    <row r="161" spans="1:28" s="11" customFormat="1" x14ac:dyDescent="0.35">
      <c r="A161" s="15"/>
      <c r="B161" s="16"/>
      <c r="C161" s="17"/>
      <c r="D161" s="194"/>
      <c r="E161" s="194"/>
      <c r="F161" s="194"/>
      <c r="G161" s="193"/>
      <c r="H161" s="193"/>
      <c r="I161" s="35"/>
      <c r="J161" s="35"/>
      <c r="K161" s="35"/>
      <c r="L161" s="35"/>
      <c r="M161" s="35"/>
      <c r="N161" s="35"/>
      <c r="O161" s="35"/>
      <c r="P161" s="35"/>
      <c r="Q161" s="38"/>
      <c r="R161" s="35"/>
      <c r="S161" s="35"/>
      <c r="T161" s="35"/>
      <c r="U161" s="35"/>
      <c r="W161" s="29"/>
      <c r="X161" s="29"/>
      <c r="Y161" s="29"/>
      <c r="Z161" s="29"/>
      <c r="AA161" s="29"/>
      <c r="AB161" s="48"/>
    </row>
    <row r="162" spans="1:28" s="11" customFormat="1" x14ac:dyDescent="0.35">
      <c r="A162" s="15"/>
      <c r="B162" s="16"/>
      <c r="C162" s="17"/>
      <c r="D162" s="194"/>
      <c r="E162" s="194"/>
      <c r="F162" s="194"/>
      <c r="G162" s="193"/>
      <c r="H162" s="193"/>
      <c r="I162" s="35"/>
      <c r="J162" s="35"/>
      <c r="K162" s="35"/>
      <c r="L162" s="35"/>
      <c r="M162" s="35"/>
      <c r="N162" s="35"/>
      <c r="O162" s="35"/>
      <c r="P162" s="35"/>
      <c r="Q162" s="38"/>
      <c r="R162" s="35"/>
      <c r="S162" s="35"/>
      <c r="T162" s="35"/>
      <c r="U162" s="35"/>
      <c r="W162" s="29"/>
      <c r="X162" s="29"/>
      <c r="Y162" s="29"/>
      <c r="Z162" s="29"/>
      <c r="AA162" s="29"/>
      <c r="AB162" s="48"/>
    </row>
    <row r="163" spans="1:28" s="11" customFormat="1" x14ac:dyDescent="0.35">
      <c r="A163" s="15"/>
      <c r="B163" s="16"/>
      <c r="C163" s="17"/>
      <c r="D163" s="194"/>
      <c r="E163" s="194"/>
      <c r="F163" s="194"/>
      <c r="G163" s="193"/>
      <c r="H163" s="193"/>
      <c r="I163" s="35"/>
      <c r="J163" s="35"/>
      <c r="K163" s="35"/>
      <c r="L163" s="35"/>
      <c r="M163" s="35"/>
      <c r="N163" s="35"/>
      <c r="O163" s="35"/>
      <c r="P163" s="35"/>
      <c r="Q163" s="38"/>
      <c r="R163" s="35"/>
      <c r="S163" s="35"/>
      <c r="T163" s="35"/>
      <c r="U163" s="35"/>
      <c r="W163" s="29"/>
      <c r="X163" s="29"/>
      <c r="Y163" s="29"/>
      <c r="Z163" s="29"/>
      <c r="AA163" s="29"/>
      <c r="AB163" s="48"/>
    </row>
    <row r="164" spans="1:28" s="11" customFormat="1" x14ac:dyDescent="0.35">
      <c r="A164" s="15"/>
      <c r="B164" s="16"/>
      <c r="C164" s="17"/>
      <c r="D164" s="194"/>
      <c r="E164" s="194"/>
      <c r="F164" s="194"/>
      <c r="G164" s="193"/>
      <c r="H164" s="193"/>
      <c r="I164" s="35"/>
      <c r="J164" s="35"/>
      <c r="K164" s="35"/>
      <c r="L164" s="35"/>
      <c r="M164" s="35"/>
      <c r="N164" s="35"/>
      <c r="O164" s="35"/>
      <c r="P164" s="35"/>
      <c r="Q164" s="38"/>
      <c r="R164" s="35"/>
      <c r="S164" s="35"/>
      <c r="T164" s="35"/>
      <c r="U164" s="35"/>
      <c r="W164" s="29"/>
      <c r="X164" s="29"/>
      <c r="Y164" s="29"/>
      <c r="Z164" s="29"/>
      <c r="AA164" s="29"/>
      <c r="AB164" s="48"/>
    </row>
    <row r="165" spans="1:28" s="11" customFormat="1" x14ac:dyDescent="0.35">
      <c r="A165" s="15"/>
      <c r="B165" s="16"/>
      <c r="C165" s="17"/>
      <c r="D165" s="194"/>
      <c r="E165" s="194"/>
      <c r="F165" s="194"/>
      <c r="G165" s="193"/>
      <c r="H165" s="193"/>
      <c r="I165" s="35"/>
      <c r="J165" s="35"/>
      <c r="K165" s="35"/>
      <c r="L165" s="35"/>
      <c r="M165" s="35"/>
      <c r="N165" s="35"/>
      <c r="O165" s="35"/>
      <c r="P165" s="35"/>
      <c r="Q165" s="38"/>
      <c r="R165" s="35"/>
      <c r="S165" s="35"/>
      <c r="T165" s="35"/>
      <c r="U165" s="35"/>
      <c r="W165" s="29"/>
      <c r="X165" s="29"/>
      <c r="Y165" s="29"/>
      <c r="Z165" s="29"/>
      <c r="AA165" s="29"/>
      <c r="AB165" s="48"/>
    </row>
    <row r="166" spans="1:28" s="11" customFormat="1" x14ac:dyDescent="0.35">
      <c r="A166" s="15"/>
      <c r="B166" s="16"/>
      <c r="C166" s="17"/>
      <c r="D166" s="194"/>
      <c r="E166" s="194"/>
      <c r="F166" s="194"/>
      <c r="G166" s="193"/>
      <c r="H166" s="193"/>
      <c r="I166" s="35"/>
      <c r="J166" s="35"/>
      <c r="K166" s="35"/>
      <c r="L166" s="35"/>
      <c r="M166" s="35"/>
      <c r="N166" s="35"/>
      <c r="O166" s="35"/>
      <c r="P166" s="35"/>
      <c r="Q166" s="38"/>
      <c r="R166" s="35"/>
      <c r="S166" s="35"/>
      <c r="T166" s="35"/>
      <c r="U166" s="35"/>
      <c r="W166" s="29"/>
      <c r="X166" s="29"/>
      <c r="Y166" s="29"/>
      <c r="Z166" s="29"/>
      <c r="AA166" s="29"/>
      <c r="AB166" s="48"/>
    </row>
    <row r="167" spans="1:28" s="11" customFormat="1" x14ac:dyDescent="0.35">
      <c r="A167" s="15"/>
      <c r="B167" s="16"/>
      <c r="C167" s="17"/>
      <c r="D167" s="194"/>
      <c r="E167" s="194"/>
      <c r="F167" s="194"/>
      <c r="G167" s="193"/>
      <c r="H167" s="193"/>
      <c r="I167" s="35"/>
      <c r="J167" s="35"/>
      <c r="K167" s="35"/>
      <c r="L167" s="35"/>
      <c r="M167" s="35"/>
      <c r="N167" s="35"/>
      <c r="O167" s="35"/>
      <c r="P167" s="35"/>
      <c r="Q167" s="38"/>
      <c r="R167" s="35"/>
      <c r="S167" s="35"/>
      <c r="T167" s="35"/>
      <c r="U167" s="35"/>
      <c r="W167" s="29"/>
      <c r="X167" s="29"/>
      <c r="Y167" s="29"/>
      <c r="Z167" s="29"/>
      <c r="AA167" s="29"/>
      <c r="AB167" s="48"/>
    </row>
    <row r="168" spans="1:28" s="11" customFormat="1" x14ac:dyDescent="0.35">
      <c r="A168" s="15"/>
      <c r="B168" s="16"/>
      <c r="C168" s="17"/>
      <c r="D168" s="194"/>
      <c r="E168" s="194"/>
      <c r="F168" s="194"/>
      <c r="G168" s="193"/>
      <c r="H168" s="193"/>
      <c r="I168" s="35"/>
      <c r="J168" s="35"/>
      <c r="K168" s="35"/>
      <c r="L168" s="35"/>
      <c r="M168" s="35"/>
      <c r="N168" s="35"/>
      <c r="O168" s="35"/>
      <c r="P168" s="35"/>
      <c r="Q168" s="38"/>
      <c r="R168" s="35"/>
      <c r="S168" s="35"/>
      <c r="T168" s="35"/>
      <c r="U168" s="35"/>
      <c r="W168" s="29"/>
      <c r="X168" s="29"/>
      <c r="Y168" s="29"/>
      <c r="Z168" s="29"/>
      <c r="AA168" s="29"/>
      <c r="AB168" s="48"/>
    </row>
    <row r="169" spans="1:28" s="11" customFormat="1" x14ac:dyDescent="0.35">
      <c r="A169" s="15"/>
      <c r="B169" s="16"/>
      <c r="C169" s="17"/>
      <c r="D169" s="194"/>
      <c r="E169" s="194"/>
      <c r="F169" s="194"/>
      <c r="G169" s="193"/>
      <c r="H169" s="193"/>
      <c r="I169" s="35"/>
      <c r="J169" s="35"/>
      <c r="K169" s="35"/>
      <c r="L169" s="35"/>
      <c r="M169" s="35"/>
      <c r="N169" s="35"/>
      <c r="O169" s="35"/>
      <c r="P169" s="35"/>
      <c r="Q169" s="38"/>
      <c r="R169" s="35"/>
      <c r="S169" s="35"/>
      <c r="T169" s="35"/>
      <c r="U169" s="35"/>
      <c r="W169" s="29"/>
      <c r="X169" s="29"/>
      <c r="Y169" s="29"/>
      <c r="Z169" s="29"/>
      <c r="AA169" s="29"/>
      <c r="AB169" s="48"/>
    </row>
    <row r="170" spans="1:28" s="11" customFormat="1" x14ac:dyDescent="0.35">
      <c r="A170" s="15"/>
      <c r="B170" s="16"/>
      <c r="C170" s="17"/>
      <c r="D170" s="194"/>
      <c r="E170" s="194"/>
      <c r="F170" s="194"/>
      <c r="G170" s="193"/>
      <c r="H170" s="193"/>
      <c r="I170" s="35"/>
      <c r="J170" s="35"/>
      <c r="K170" s="35"/>
      <c r="L170" s="35"/>
      <c r="M170" s="35"/>
      <c r="N170" s="35"/>
      <c r="O170" s="35"/>
      <c r="P170" s="35"/>
      <c r="Q170" s="38"/>
      <c r="R170" s="35"/>
      <c r="S170" s="35"/>
      <c r="T170" s="35"/>
      <c r="U170" s="35"/>
      <c r="W170" s="29"/>
      <c r="X170" s="29"/>
      <c r="Y170" s="29"/>
      <c r="Z170" s="29"/>
      <c r="AA170" s="29"/>
      <c r="AB170" s="48"/>
    </row>
    <row r="171" spans="1:28" s="11" customFormat="1" x14ac:dyDescent="0.35">
      <c r="A171" s="15"/>
      <c r="B171" s="16"/>
      <c r="C171" s="17"/>
      <c r="D171" s="194"/>
      <c r="E171" s="194"/>
      <c r="F171" s="194"/>
      <c r="G171" s="193"/>
      <c r="H171" s="193"/>
      <c r="I171" s="35"/>
      <c r="J171" s="35"/>
      <c r="K171" s="35"/>
      <c r="L171" s="35"/>
      <c r="M171" s="35"/>
      <c r="N171" s="35"/>
      <c r="O171" s="35"/>
      <c r="P171" s="35"/>
      <c r="Q171" s="38"/>
      <c r="R171" s="35"/>
      <c r="S171" s="35"/>
      <c r="T171" s="35"/>
      <c r="U171" s="35"/>
      <c r="W171" s="29"/>
      <c r="X171" s="29"/>
      <c r="Y171" s="29"/>
      <c r="Z171" s="29"/>
      <c r="AA171" s="29"/>
      <c r="AB171" s="48"/>
    </row>
    <row r="172" spans="1:28" s="11" customFormat="1" x14ac:dyDescent="0.35">
      <c r="A172" s="15"/>
      <c r="B172" s="16"/>
      <c r="C172" s="17"/>
      <c r="D172" s="194"/>
      <c r="E172" s="194"/>
      <c r="F172" s="194"/>
      <c r="G172" s="193"/>
      <c r="H172" s="193"/>
      <c r="I172" s="35"/>
      <c r="J172" s="35"/>
      <c r="K172" s="35"/>
      <c r="L172" s="35"/>
      <c r="M172" s="35"/>
      <c r="N172" s="35"/>
      <c r="O172" s="35"/>
      <c r="P172" s="35"/>
      <c r="Q172" s="38"/>
      <c r="R172" s="35"/>
      <c r="S172" s="35"/>
      <c r="T172" s="35"/>
      <c r="U172" s="35"/>
      <c r="W172" s="29"/>
      <c r="X172" s="29"/>
      <c r="Y172" s="29"/>
      <c r="Z172" s="29"/>
      <c r="AA172" s="29"/>
      <c r="AB172" s="48"/>
    </row>
    <row r="173" spans="1:28" s="11" customFormat="1" x14ac:dyDescent="0.35">
      <c r="A173" s="15"/>
      <c r="B173" s="16"/>
      <c r="C173" s="17"/>
      <c r="D173" s="194"/>
      <c r="E173" s="194"/>
      <c r="F173" s="194"/>
      <c r="G173" s="193"/>
      <c r="H173" s="193"/>
      <c r="I173" s="35"/>
      <c r="J173" s="35"/>
      <c r="K173" s="35"/>
      <c r="L173" s="35"/>
      <c r="M173" s="35"/>
      <c r="N173" s="35"/>
      <c r="O173" s="35"/>
      <c r="P173" s="35"/>
      <c r="Q173" s="38"/>
      <c r="R173" s="35"/>
      <c r="S173" s="35"/>
      <c r="T173" s="35"/>
      <c r="U173" s="35"/>
      <c r="W173" s="29"/>
      <c r="X173" s="29"/>
      <c r="Y173" s="29"/>
      <c r="Z173" s="29"/>
      <c r="AA173" s="29"/>
      <c r="AB173" s="48"/>
    </row>
    <row r="174" spans="1:28" s="11" customFormat="1" x14ac:dyDescent="0.35">
      <c r="A174" s="15"/>
      <c r="B174" s="16"/>
      <c r="C174" s="17"/>
      <c r="D174" s="194"/>
      <c r="E174" s="194"/>
      <c r="F174" s="194"/>
      <c r="G174" s="193"/>
      <c r="H174" s="193"/>
      <c r="I174" s="35"/>
      <c r="J174" s="35"/>
      <c r="K174" s="35"/>
      <c r="L174" s="35"/>
      <c r="M174" s="35"/>
      <c r="N174" s="35"/>
      <c r="O174" s="35"/>
      <c r="P174" s="35"/>
      <c r="Q174" s="38"/>
      <c r="R174" s="35"/>
      <c r="S174" s="35"/>
      <c r="T174" s="35"/>
      <c r="U174" s="35"/>
      <c r="W174" s="29"/>
      <c r="X174" s="29"/>
      <c r="Y174" s="29"/>
      <c r="Z174" s="29"/>
      <c r="AA174" s="29"/>
      <c r="AB174" s="48"/>
    </row>
    <row r="175" spans="1:28" s="11" customFormat="1" x14ac:dyDescent="0.35">
      <c r="A175" s="15"/>
      <c r="B175" s="16"/>
      <c r="C175" s="17"/>
      <c r="D175" s="194"/>
      <c r="E175" s="194"/>
      <c r="F175" s="194"/>
      <c r="G175" s="193"/>
      <c r="H175" s="193"/>
      <c r="I175" s="35"/>
      <c r="J175" s="35"/>
      <c r="K175" s="35"/>
      <c r="L175" s="35"/>
      <c r="M175" s="35"/>
      <c r="N175" s="35"/>
      <c r="O175" s="35"/>
      <c r="P175" s="35"/>
      <c r="Q175" s="38"/>
      <c r="R175" s="35"/>
      <c r="S175" s="35"/>
      <c r="T175" s="35"/>
      <c r="U175" s="35"/>
      <c r="W175" s="29"/>
      <c r="X175" s="29"/>
      <c r="Y175" s="29"/>
      <c r="Z175" s="29"/>
      <c r="AA175" s="29"/>
      <c r="AB175" s="48"/>
    </row>
    <row r="176" spans="1:28" s="11" customFormat="1" x14ac:dyDescent="0.35">
      <c r="A176" s="15"/>
      <c r="B176" s="16"/>
      <c r="C176" s="17"/>
      <c r="D176" s="194"/>
      <c r="E176" s="194"/>
      <c r="F176" s="194"/>
      <c r="G176" s="193"/>
      <c r="H176" s="193"/>
      <c r="I176" s="35"/>
      <c r="J176" s="35"/>
      <c r="K176" s="35"/>
      <c r="L176" s="35"/>
      <c r="M176" s="35"/>
      <c r="N176" s="35"/>
      <c r="O176" s="35"/>
      <c r="P176" s="35"/>
      <c r="Q176" s="38"/>
      <c r="R176" s="35"/>
      <c r="S176" s="35"/>
      <c r="T176" s="35"/>
      <c r="U176" s="35"/>
      <c r="W176" s="29"/>
      <c r="X176" s="29"/>
      <c r="Y176" s="29"/>
      <c r="Z176" s="29"/>
      <c r="AA176" s="29"/>
      <c r="AB176" s="48"/>
    </row>
    <row r="177" spans="1:28" s="11" customFormat="1" x14ac:dyDescent="0.35">
      <c r="A177" s="15"/>
      <c r="B177" s="16"/>
      <c r="C177" s="17"/>
      <c r="D177" s="194"/>
      <c r="E177" s="194"/>
      <c r="F177" s="194"/>
      <c r="G177" s="193"/>
      <c r="H177" s="193"/>
      <c r="I177" s="35"/>
      <c r="J177" s="35"/>
      <c r="K177" s="35"/>
      <c r="L177" s="35"/>
      <c r="M177" s="35"/>
      <c r="N177" s="35"/>
      <c r="O177" s="35"/>
      <c r="P177" s="35"/>
      <c r="Q177" s="38"/>
      <c r="R177" s="35"/>
      <c r="S177" s="35"/>
      <c r="T177" s="35"/>
      <c r="U177" s="35"/>
      <c r="W177" s="29"/>
      <c r="X177" s="29"/>
      <c r="Y177" s="29"/>
      <c r="Z177" s="29"/>
      <c r="AA177" s="29"/>
      <c r="AB177" s="48"/>
    </row>
    <row r="178" spans="1:28" s="11" customFormat="1" x14ac:dyDescent="0.35">
      <c r="A178" s="15"/>
      <c r="B178" s="16"/>
      <c r="C178" s="17"/>
      <c r="D178" s="194"/>
      <c r="E178" s="194"/>
      <c r="F178" s="194"/>
      <c r="G178" s="193"/>
      <c r="H178" s="193"/>
      <c r="I178" s="35"/>
      <c r="J178" s="35"/>
      <c r="K178" s="35"/>
      <c r="L178" s="35"/>
      <c r="M178" s="35"/>
      <c r="N178" s="35"/>
      <c r="O178" s="35"/>
      <c r="P178" s="35"/>
      <c r="Q178" s="38"/>
      <c r="R178" s="35"/>
      <c r="S178" s="35"/>
      <c r="T178" s="35"/>
      <c r="U178" s="35"/>
      <c r="W178" s="29"/>
      <c r="X178" s="29"/>
      <c r="Y178" s="29"/>
      <c r="Z178" s="29"/>
      <c r="AA178" s="29"/>
      <c r="AB178" s="48"/>
    </row>
    <row r="179" spans="1:28" s="11" customFormat="1" x14ac:dyDescent="0.35">
      <c r="A179" s="15"/>
      <c r="B179" s="16"/>
      <c r="C179" s="17"/>
      <c r="D179" s="194"/>
      <c r="E179" s="194"/>
      <c r="F179" s="194"/>
      <c r="G179" s="193"/>
      <c r="H179" s="193"/>
      <c r="I179" s="35"/>
      <c r="J179" s="35"/>
      <c r="K179" s="35"/>
      <c r="L179" s="35"/>
      <c r="M179" s="35"/>
      <c r="N179" s="35"/>
      <c r="O179" s="35"/>
      <c r="P179" s="35"/>
      <c r="Q179" s="38"/>
      <c r="R179" s="35"/>
      <c r="S179" s="35"/>
      <c r="T179" s="35"/>
      <c r="U179" s="35"/>
      <c r="W179" s="29"/>
      <c r="X179" s="29"/>
      <c r="Y179" s="29"/>
      <c r="Z179" s="29"/>
      <c r="AA179" s="29"/>
      <c r="AB179" s="48"/>
    </row>
    <row r="180" spans="1:28" s="11" customFormat="1" x14ac:dyDescent="0.35">
      <c r="A180" s="15"/>
      <c r="B180" s="16"/>
      <c r="C180" s="17"/>
      <c r="D180" s="194"/>
      <c r="E180" s="194"/>
      <c r="F180" s="194"/>
      <c r="G180" s="193"/>
      <c r="H180" s="193"/>
      <c r="I180" s="35"/>
      <c r="J180" s="35"/>
      <c r="K180" s="35"/>
      <c r="L180" s="35"/>
      <c r="M180" s="35"/>
      <c r="N180" s="35"/>
      <c r="O180" s="35"/>
      <c r="P180" s="35"/>
      <c r="Q180" s="38"/>
      <c r="R180" s="35"/>
      <c r="S180" s="35"/>
      <c r="T180" s="35"/>
      <c r="U180" s="35"/>
      <c r="W180" s="29"/>
      <c r="X180" s="29"/>
      <c r="Y180" s="29"/>
      <c r="Z180" s="29"/>
      <c r="AA180" s="29"/>
      <c r="AB180" s="48"/>
    </row>
    <row r="181" spans="1:28" s="11" customFormat="1" x14ac:dyDescent="0.35">
      <c r="A181" s="15"/>
      <c r="B181" s="16"/>
      <c r="C181" s="17"/>
      <c r="D181" s="194"/>
      <c r="E181" s="194"/>
      <c r="F181" s="194"/>
      <c r="G181" s="193"/>
      <c r="H181" s="193"/>
      <c r="I181" s="35"/>
      <c r="J181" s="35"/>
      <c r="K181" s="35"/>
      <c r="L181" s="35"/>
      <c r="M181" s="35"/>
      <c r="N181" s="35"/>
      <c r="O181" s="35"/>
      <c r="P181" s="35"/>
      <c r="Q181" s="38"/>
      <c r="R181" s="35"/>
      <c r="S181" s="35"/>
      <c r="T181" s="35"/>
      <c r="U181" s="35"/>
      <c r="W181" s="29"/>
      <c r="X181" s="29"/>
      <c r="Y181" s="29"/>
      <c r="Z181" s="29"/>
      <c r="AA181" s="29"/>
      <c r="AB181" s="48"/>
    </row>
    <row r="182" spans="1:28" s="11" customFormat="1" x14ac:dyDescent="0.35">
      <c r="A182" s="15"/>
      <c r="B182" s="16"/>
      <c r="C182" s="17"/>
      <c r="D182" s="194"/>
      <c r="E182" s="194"/>
      <c r="F182" s="194"/>
      <c r="G182" s="193"/>
      <c r="H182" s="193"/>
      <c r="I182" s="35"/>
      <c r="J182" s="35"/>
      <c r="K182" s="35"/>
      <c r="L182" s="35"/>
      <c r="M182" s="35"/>
      <c r="N182" s="35"/>
      <c r="O182" s="35"/>
      <c r="P182" s="35"/>
      <c r="Q182" s="38"/>
      <c r="R182" s="35"/>
      <c r="S182" s="35"/>
      <c r="T182" s="35"/>
      <c r="U182" s="35"/>
      <c r="W182" s="29"/>
      <c r="X182" s="29"/>
      <c r="Y182" s="29"/>
      <c r="Z182" s="29"/>
      <c r="AA182" s="29"/>
      <c r="AB182" s="48"/>
    </row>
    <row r="183" spans="1:28" s="11" customFormat="1" x14ac:dyDescent="0.35">
      <c r="A183" s="15"/>
      <c r="B183" s="16"/>
      <c r="C183" s="17"/>
      <c r="D183" s="194"/>
      <c r="E183" s="194"/>
      <c r="F183" s="194"/>
      <c r="G183" s="193"/>
      <c r="H183" s="193"/>
      <c r="I183" s="35"/>
      <c r="J183" s="35"/>
      <c r="K183" s="35"/>
      <c r="L183" s="35"/>
      <c r="M183" s="35"/>
      <c r="N183" s="35"/>
      <c r="O183" s="35"/>
      <c r="P183" s="35"/>
      <c r="Q183" s="38"/>
      <c r="R183" s="35"/>
      <c r="S183" s="35"/>
      <c r="T183" s="35"/>
      <c r="U183" s="35"/>
      <c r="W183" s="29"/>
      <c r="X183" s="29"/>
      <c r="Y183" s="29"/>
      <c r="Z183" s="29"/>
      <c r="AA183" s="29"/>
      <c r="AB183" s="48"/>
    </row>
    <row r="184" spans="1:28" s="11" customFormat="1" x14ac:dyDescent="0.35">
      <c r="A184" s="15"/>
      <c r="B184" s="16"/>
      <c r="C184" s="17"/>
      <c r="D184" s="194"/>
      <c r="E184" s="194"/>
      <c r="F184" s="194"/>
      <c r="G184" s="193"/>
      <c r="H184" s="193"/>
      <c r="I184" s="35"/>
      <c r="J184" s="35"/>
      <c r="K184" s="35"/>
      <c r="L184" s="35"/>
      <c r="M184" s="35"/>
      <c r="N184" s="35"/>
      <c r="O184" s="35"/>
      <c r="P184" s="35"/>
      <c r="Q184" s="38"/>
      <c r="R184" s="35"/>
      <c r="S184" s="35"/>
      <c r="T184" s="35"/>
      <c r="U184" s="35"/>
      <c r="W184" s="29"/>
      <c r="X184" s="29"/>
      <c r="Y184" s="29"/>
      <c r="Z184" s="29"/>
      <c r="AA184" s="29"/>
      <c r="AB184" s="48"/>
    </row>
    <row r="185" spans="1:28" s="11" customFormat="1" x14ac:dyDescent="0.35">
      <c r="A185" s="15"/>
      <c r="B185" s="16"/>
      <c r="C185" s="17"/>
      <c r="D185" s="194"/>
      <c r="E185" s="194"/>
      <c r="F185" s="194"/>
      <c r="G185" s="193"/>
      <c r="H185" s="193"/>
      <c r="I185" s="35"/>
      <c r="J185" s="35"/>
      <c r="K185" s="35"/>
      <c r="L185" s="35"/>
      <c r="M185" s="35"/>
      <c r="N185" s="35"/>
      <c r="O185" s="35"/>
      <c r="P185" s="35"/>
      <c r="Q185" s="38"/>
      <c r="R185" s="35"/>
      <c r="S185" s="35"/>
      <c r="T185" s="35"/>
      <c r="U185" s="35"/>
      <c r="W185" s="29"/>
      <c r="X185" s="29"/>
      <c r="Y185" s="29"/>
      <c r="Z185" s="29"/>
      <c r="AA185" s="29"/>
      <c r="AB185" s="48"/>
    </row>
    <row r="186" spans="1:28" s="11" customFormat="1" x14ac:dyDescent="0.35">
      <c r="A186" s="15"/>
      <c r="B186" s="16"/>
      <c r="C186" s="17"/>
      <c r="D186" s="194"/>
      <c r="E186" s="194"/>
      <c r="F186" s="194"/>
      <c r="G186" s="193"/>
      <c r="H186" s="193"/>
      <c r="I186" s="35"/>
      <c r="J186" s="35"/>
      <c r="K186" s="35"/>
      <c r="L186" s="35"/>
      <c r="M186" s="35"/>
      <c r="N186" s="35"/>
      <c r="O186" s="35"/>
      <c r="P186" s="35"/>
      <c r="Q186" s="38"/>
      <c r="R186" s="35"/>
      <c r="S186" s="35"/>
      <c r="T186" s="35"/>
      <c r="U186" s="35"/>
      <c r="W186" s="29"/>
      <c r="X186" s="29"/>
      <c r="Y186" s="29"/>
      <c r="Z186" s="29"/>
      <c r="AA186" s="29"/>
      <c r="AB186" s="48"/>
    </row>
    <row r="187" spans="1:28" s="11" customFormat="1" x14ac:dyDescent="0.35">
      <c r="A187" s="15"/>
      <c r="B187" s="16"/>
      <c r="C187" s="17"/>
      <c r="D187" s="194"/>
      <c r="E187" s="194"/>
      <c r="F187" s="194"/>
      <c r="G187" s="193"/>
      <c r="H187" s="193"/>
      <c r="I187" s="35"/>
      <c r="J187" s="35"/>
      <c r="K187" s="35"/>
      <c r="L187" s="35"/>
      <c r="M187" s="35"/>
      <c r="N187" s="35"/>
      <c r="O187" s="35"/>
      <c r="P187" s="35"/>
      <c r="Q187" s="38"/>
      <c r="R187" s="35"/>
      <c r="S187" s="35"/>
      <c r="T187" s="35"/>
      <c r="U187" s="35"/>
      <c r="W187" s="29"/>
      <c r="X187" s="29"/>
      <c r="Y187" s="29"/>
      <c r="Z187" s="29"/>
      <c r="AA187" s="29"/>
      <c r="AB187" s="48"/>
    </row>
    <row r="188" spans="1:28" s="11" customFormat="1" x14ac:dyDescent="0.35">
      <c r="A188" s="15"/>
      <c r="B188" s="16"/>
      <c r="C188" s="17"/>
      <c r="D188" s="194"/>
      <c r="E188" s="194"/>
      <c r="F188" s="194"/>
      <c r="G188" s="193"/>
      <c r="H188" s="193"/>
      <c r="I188" s="35"/>
      <c r="J188" s="35"/>
      <c r="K188" s="35"/>
      <c r="L188" s="35"/>
      <c r="M188" s="35"/>
      <c r="N188" s="35"/>
      <c r="O188" s="35"/>
      <c r="P188" s="35"/>
      <c r="Q188" s="38"/>
      <c r="R188" s="35"/>
      <c r="S188" s="35"/>
      <c r="T188" s="35"/>
      <c r="U188" s="35"/>
      <c r="W188" s="29"/>
      <c r="X188" s="29"/>
      <c r="Y188" s="29"/>
      <c r="Z188" s="29"/>
      <c r="AA188" s="29"/>
      <c r="AB188" s="48"/>
    </row>
    <row r="189" spans="1:28" s="11" customFormat="1" x14ac:dyDescent="0.35">
      <c r="A189" s="15"/>
      <c r="B189" s="16"/>
      <c r="C189" s="17"/>
      <c r="D189" s="194"/>
      <c r="E189" s="194"/>
      <c r="F189" s="194"/>
      <c r="G189" s="193"/>
      <c r="H189" s="193"/>
      <c r="I189" s="35"/>
      <c r="J189" s="35"/>
      <c r="K189" s="35"/>
      <c r="L189" s="35"/>
      <c r="M189" s="35"/>
      <c r="N189" s="35"/>
      <c r="O189" s="35"/>
      <c r="P189" s="35"/>
      <c r="Q189" s="38"/>
      <c r="R189" s="35"/>
      <c r="S189" s="35"/>
      <c r="T189" s="35"/>
      <c r="U189" s="35"/>
      <c r="W189" s="29"/>
      <c r="X189" s="29"/>
      <c r="Y189" s="29"/>
      <c r="Z189" s="29"/>
      <c r="AA189" s="29"/>
      <c r="AB189" s="48"/>
    </row>
    <row r="190" spans="1:28" s="11" customFormat="1" x14ac:dyDescent="0.35">
      <c r="A190" s="15"/>
      <c r="B190" s="16"/>
      <c r="C190" s="17"/>
      <c r="D190" s="194"/>
      <c r="E190" s="194"/>
      <c r="F190" s="194"/>
      <c r="G190" s="193"/>
      <c r="H190" s="193"/>
      <c r="I190" s="35"/>
      <c r="J190" s="35"/>
      <c r="K190" s="35"/>
      <c r="L190" s="35"/>
      <c r="M190" s="35"/>
      <c r="N190" s="35"/>
      <c r="O190" s="35"/>
      <c r="P190" s="35"/>
      <c r="Q190" s="38"/>
      <c r="R190" s="35"/>
      <c r="S190" s="35"/>
      <c r="T190" s="35"/>
      <c r="U190" s="35"/>
      <c r="W190" s="29"/>
      <c r="X190" s="29"/>
      <c r="Y190" s="29"/>
      <c r="Z190" s="29"/>
      <c r="AA190" s="29"/>
      <c r="AB190" s="48"/>
    </row>
    <row r="191" spans="1:28" s="11" customFormat="1" x14ac:dyDescent="0.35">
      <c r="A191" s="15"/>
      <c r="B191" s="16"/>
      <c r="C191" s="17"/>
      <c r="D191" s="194"/>
      <c r="E191" s="194"/>
      <c r="F191" s="194"/>
      <c r="G191" s="193"/>
      <c r="H191" s="193"/>
      <c r="I191" s="35"/>
      <c r="J191" s="35"/>
      <c r="K191" s="35"/>
      <c r="L191" s="35"/>
      <c r="M191" s="35"/>
      <c r="N191" s="35"/>
      <c r="O191" s="35"/>
      <c r="P191" s="35"/>
      <c r="Q191" s="38"/>
      <c r="R191" s="35"/>
      <c r="S191" s="35"/>
      <c r="T191" s="35"/>
      <c r="U191" s="35"/>
      <c r="W191" s="29"/>
      <c r="X191" s="29"/>
      <c r="Y191" s="29"/>
      <c r="Z191" s="29"/>
      <c r="AA191" s="29"/>
      <c r="AB191" s="48"/>
    </row>
    <row r="192" spans="1:28" s="11" customFormat="1" x14ac:dyDescent="0.35">
      <c r="A192" s="15"/>
      <c r="B192" s="16"/>
      <c r="C192" s="17"/>
      <c r="D192" s="194"/>
      <c r="E192" s="194"/>
      <c r="F192" s="194"/>
      <c r="G192" s="193"/>
      <c r="H192" s="193"/>
      <c r="I192" s="35"/>
      <c r="J192" s="35"/>
      <c r="K192" s="35"/>
      <c r="L192" s="35"/>
      <c r="M192" s="35"/>
      <c r="N192" s="35"/>
      <c r="O192" s="35"/>
      <c r="P192" s="35"/>
      <c r="Q192" s="38"/>
      <c r="R192" s="35"/>
      <c r="S192" s="35"/>
      <c r="T192" s="35"/>
      <c r="U192" s="35"/>
      <c r="W192" s="29"/>
      <c r="X192" s="29"/>
      <c r="Y192" s="29"/>
      <c r="Z192" s="29"/>
      <c r="AA192" s="29"/>
      <c r="AB192" s="48"/>
    </row>
    <row r="193" spans="1:28" s="11" customFormat="1" x14ac:dyDescent="0.35">
      <c r="A193" s="15"/>
      <c r="B193" s="16"/>
      <c r="C193" s="17"/>
      <c r="D193" s="194"/>
      <c r="E193" s="194"/>
      <c r="F193" s="194"/>
      <c r="G193" s="193"/>
      <c r="H193" s="193"/>
      <c r="I193" s="35"/>
      <c r="J193" s="35"/>
      <c r="K193" s="35"/>
      <c r="L193" s="35"/>
      <c r="M193" s="35"/>
      <c r="N193" s="35"/>
      <c r="O193" s="35"/>
      <c r="P193" s="35"/>
      <c r="Q193" s="38"/>
      <c r="R193" s="35"/>
      <c r="S193" s="35"/>
      <c r="T193" s="35"/>
      <c r="U193" s="35"/>
      <c r="W193" s="29"/>
      <c r="X193" s="29"/>
      <c r="Y193" s="29"/>
      <c r="Z193" s="29"/>
      <c r="AA193" s="29"/>
      <c r="AB193" s="48"/>
    </row>
    <row r="194" spans="1:28" s="11" customFormat="1" x14ac:dyDescent="0.35">
      <c r="A194" s="15"/>
      <c r="B194" s="16"/>
      <c r="C194" s="17"/>
      <c r="D194" s="194"/>
      <c r="E194" s="194"/>
      <c r="F194" s="194"/>
      <c r="G194" s="193"/>
      <c r="H194" s="193"/>
      <c r="I194" s="35"/>
      <c r="J194" s="35"/>
      <c r="K194" s="35"/>
      <c r="L194" s="35"/>
      <c r="M194" s="35"/>
      <c r="N194" s="35"/>
      <c r="O194" s="35"/>
      <c r="P194" s="35"/>
      <c r="Q194" s="38"/>
      <c r="R194" s="35"/>
      <c r="S194" s="35"/>
      <c r="T194" s="35"/>
      <c r="U194" s="35"/>
      <c r="W194" s="29"/>
      <c r="X194" s="29"/>
      <c r="Y194" s="29"/>
      <c r="Z194" s="29"/>
      <c r="AA194" s="29"/>
      <c r="AB194" s="48"/>
    </row>
    <row r="195" spans="1:28" s="11" customFormat="1" x14ac:dyDescent="0.35">
      <c r="A195" s="15"/>
      <c r="B195" s="16"/>
      <c r="C195" s="17"/>
      <c r="D195" s="194"/>
      <c r="E195" s="194"/>
      <c r="F195" s="194"/>
      <c r="G195" s="193"/>
      <c r="H195" s="193"/>
      <c r="I195" s="35"/>
      <c r="J195" s="35"/>
      <c r="K195" s="35"/>
      <c r="L195" s="35"/>
      <c r="M195" s="35"/>
      <c r="N195" s="35"/>
      <c r="O195" s="35"/>
      <c r="P195" s="35"/>
      <c r="Q195" s="38"/>
      <c r="R195" s="35"/>
      <c r="S195" s="35"/>
      <c r="T195" s="35"/>
      <c r="U195" s="35"/>
      <c r="W195" s="29"/>
      <c r="X195" s="29"/>
      <c r="Y195" s="29"/>
      <c r="Z195" s="29"/>
      <c r="AA195" s="29"/>
      <c r="AB195" s="48"/>
    </row>
    <row r="196" spans="1:28" s="11" customFormat="1" x14ac:dyDescent="0.35">
      <c r="A196" s="15"/>
      <c r="B196" s="16"/>
      <c r="C196" s="17"/>
      <c r="D196" s="194"/>
      <c r="E196" s="194"/>
      <c r="F196" s="194"/>
      <c r="G196" s="193"/>
      <c r="H196" s="193"/>
      <c r="I196" s="35"/>
      <c r="J196" s="35"/>
      <c r="K196" s="35"/>
      <c r="L196" s="35"/>
      <c r="M196" s="35"/>
      <c r="N196" s="35"/>
      <c r="O196" s="35"/>
      <c r="P196" s="35"/>
      <c r="Q196" s="38"/>
      <c r="R196" s="35"/>
      <c r="S196" s="35"/>
      <c r="T196" s="35"/>
      <c r="U196" s="35"/>
      <c r="W196" s="29"/>
      <c r="X196" s="29"/>
      <c r="Y196" s="29"/>
      <c r="Z196" s="29"/>
      <c r="AA196" s="29"/>
      <c r="AB196" s="48"/>
    </row>
    <row r="197" spans="1:28" s="11" customFormat="1" x14ac:dyDescent="0.35">
      <c r="A197" s="15"/>
      <c r="B197" s="16"/>
      <c r="C197" s="17"/>
      <c r="D197" s="194"/>
      <c r="E197" s="194"/>
      <c r="F197" s="194"/>
      <c r="G197" s="193"/>
      <c r="H197" s="193"/>
      <c r="I197" s="35"/>
      <c r="J197" s="35"/>
      <c r="K197" s="35"/>
      <c r="L197" s="35"/>
      <c r="M197" s="35"/>
      <c r="N197" s="35"/>
      <c r="O197" s="35"/>
      <c r="P197" s="35"/>
      <c r="Q197" s="38"/>
      <c r="R197" s="35"/>
      <c r="S197" s="35"/>
      <c r="T197" s="35"/>
      <c r="U197" s="35"/>
      <c r="W197" s="29"/>
      <c r="X197" s="29"/>
      <c r="Y197" s="29"/>
      <c r="Z197" s="29"/>
      <c r="AA197" s="29"/>
      <c r="AB197" s="48"/>
    </row>
    <row r="198" spans="1:28" s="11" customFormat="1" x14ac:dyDescent="0.35">
      <c r="A198" s="15"/>
      <c r="B198" s="16"/>
      <c r="C198" s="17"/>
      <c r="D198" s="194"/>
      <c r="E198" s="194"/>
      <c r="F198" s="194"/>
      <c r="G198" s="193"/>
      <c r="H198" s="193"/>
      <c r="I198" s="35"/>
      <c r="J198" s="35"/>
      <c r="K198" s="35"/>
      <c r="L198" s="35"/>
      <c r="M198" s="35"/>
      <c r="N198" s="35"/>
      <c r="O198" s="35"/>
      <c r="P198" s="35"/>
      <c r="Q198" s="38"/>
      <c r="R198" s="35"/>
      <c r="S198" s="35"/>
      <c r="T198" s="35"/>
      <c r="U198" s="35"/>
      <c r="W198" s="29"/>
      <c r="X198" s="29"/>
      <c r="Y198" s="29"/>
      <c r="Z198" s="29"/>
      <c r="AA198" s="29"/>
      <c r="AB198" s="48"/>
    </row>
    <row r="199" spans="1:28" s="11" customFormat="1" x14ac:dyDescent="0.35">
      <c r="A199" s="15"/>
      <c r="B199" s="16"/>
      <c r="C199" s="17"/>
      <c r="D199" s="194"/>
      <c r="E199" s="194"/>
      <c r="F199" s="194"/>
      <c r="G199" s="193"/>
      <c r="H199" s="193"/>
      <c r="I199" s="35"/>
      <c r="J199" s="35"/>
      <c r="K199" s="35"/>
      <c r="L199" s="35"/>
      <c r="M199" s="35"/>
      <c r="N199" s="35"/>
      <c r="O199" s="35"/>
      <c r="P199" s="35"/>
      <c r="Q199" s="38"/>
      <c r="R199" s="35"/>
      <c r="S199" s="35"/>
      <c r="T199" s="35"/>
      <c r="U199" s="35"/>
      <c r="W199" s="29"/>
      <c r="X199" s="29"/>
      <c r="Y199" s="29"/>
      <c r="Z199" s="29"/>
      <c r="AA199" s="29"/>
      <c r="AB199" s="48"/>
    </row>
    <row r="200" spans="1:28" s="11" customFormat="1" x14ac:dyDescent="0.35">
      <c r="A200" s="15"/>
      <c r="B200" s="16"/>
      <c r="C200" s="17"/>
      <c r="D200" s="194"/>
      <c r="E200" s="194"/>
      <c r="F200" s="194"/>
      <c r="G200" s="193"/>
      <c r="H200" s="193"/>
      <c r="I200" s="35"/>
      <c r="J200" s="35"/>
      <c r="K200" s="35"/>
      <c r="L200" s="35"/>
      <c r="M200" s="35"/>
      <c r="N200" s="35"/>
      <c r="O200" s="35"/>
      <c r="P200" s="35"/>
      <c r="Q200" s="38"/>
      <c r="R200" s="35"/>
      <c r="S200" s="35"/>
      <c r="T200" s="35"/>
      <c r="U200" s="35"/>
      <c r="W200" s="29"/>
      <c r="X200" s="29"/>
      <c r="Y200" s="29"/>
      <c r="Z200" s="29"/>
      <c r="AA200" s="29"/>
      <c r="AB200" s="48"/>
    </row>
    <row r="201" spans="1:28" s="11" customFormat="1" x14ac:dyDescent="0.35">
      <c r="A201" s="15"/>
      <c r="B201" s="16"/>
      <c r="C201" s="17"/>
      <c r="D201" s="194"/>
      <c r="E201" s="194"/>
      <c r="F201" s="194"/>
      <c r="G201" s="193"/>
      <c r="H201" s="193"/>
      <c r="I201" s="35"/>
      <c r="J201" s="35"/>
      <c r="K201" s="35"/>
      <c r="L201" s="35"/>
      <c r="M201" s="35"/>
      <c r="N201" s="35"/>
      <c r="O201" s="35"/>
      <c r="P201" s="35"/>
      <c r="Q201" s="38"/>
      <c r="R201" s="35"/>
      <c r="S201" s="35"/>
      <c r="T201" s="35"/>
      <c r="U201" s="35"/>
      <c r="W201" s="29"/>
      <c r="X201" s="29"/>
      <c r="Y201" s="29"/>
      <c r="Z201" s="29"/>
      <c r="AA201" s="29"/>
      <c r="AB201" s="48"/>
    </row>
    <row r="202" spans="1:28" s="11" customFormat="1" x14ac:dyDescent="0.35">
      <c r="A202" s="15"/>
      <c r="B202" s="16"/>
      <c r="C202" s="17"/>
      <c r="D202" s="194"/>
      <c r="E202" s="194"/>
      <c r="F202" s="194"/>
      <c r="G202" s="193"/>
      <c r="H202" s="193"/>
      <c r="I202" s="35"/>
      <c r="J202" s="35"/>
      <c r="K202" s="35"/>
      <c r="L202" s="35"/>
      <c r="M202" s="35"/>
      <c r="N202" s="35"/>
      <c r="O202" s="35"/>
      <c r="P202" s="35"/>
      <c r="Q202" s="38"/>
      <c r="R202" s="35"/>
      <c r="S202" s="35"/>
      <c r="T202" s="35"/>
      <c r="U202" s="35"/>
      <c r="W202" s="29"/>
      <c r="X202" s="29"/>
      <c r="Y202" s="29"/>
      <c r="Z202" s="29"/>
      <c r="AA202" s="29"/>
      <c r="AB202" s="48"/>
    </row>
    <row r="203" spans="1:28" s="11" customFormat="1" x14ac:dyDescent="0.35">
      <c r="A203" s="15"/>
      <c r="B203" s="16"/>
      <c r="C203" s="17"/>
      <c r="D203" s="194"/>
      <c r="E203" s="194"/>
      <c r="F203" s="194"/>
      <c r="G203" s="193"/>
      <c r="H203" s="193"/>
      <c r="I203" s="35"/>
      <c r="J203" s="35"/>
      <c r="K203" s="35"/>
      <c r="L203" s="35"/>
      <c r="M203" s="35"/>
      <c r="N203" s="35"/>
      <c r="O203" s="35"/>
      <c r="P203" s="35"/>
      <c r="Q203" s="38"/>
      <c r="R203" s="35"/>
      <c r="S203" s="35"/>
      <c r="T203" s="35"/>
      <c r="U203" s="35"/>
      <c r="W203" s="29"/>
      <c r="X203" s="29"/>
      <c r="Y203" s="29"/>
      <c r="Z203" s="29"/>
      <c r="AA203" s="29"/>
      <c r="AB203" s="48"/>
    </row>
    <row r="204" spans="1:28" s="11" customFormat="1" x14ac:dyDescent="0.35">
      <c r="A204" s="15"/>
      <c r="B204" s="16"/>
      <c r="C204" s="17"/>
      <c r="D204" s="194"/>
      <c r="E204" s="194"/>
      <c r="F204" s="194"/>
      <c r="G204" s="193"/>
      <c r="H204" s="193"/>
      <c r="I204" s="35"/>
      <c r="J204" s="35"/>
      <c r="K204" s="35"/>
      <c r="L204" s="35"/>
      <c r="M204" s="35"/>
      <c r="N204" s="35"/>
      <c r="O204" s="35"/>
      <c r="P204" s="35"/>
      <c r="Q204" s="38"/>
      <c r="R204" s="35"/>
      <c r="S204" s="35"/>
      <c r="T204" s="35"/>
      <c r="U204" s="35"/>
      <c r="W204" s="29"/>
      <c r="X204" s="29"/>
      <c r="Y204" s="29"/>
      <c r="Z204" s="29"/>
      <c r="AA204" s="29"/>
      <c r="AB204" s="48"/>
    </row>
    <row r="205" spans="1:28" s="11" customFormat="1" x14ac:dyDescent="0.35">
      <c r="A205" s="15"/>
      <c r="B205" s="16"/>
      <c r="C205" s="17"/>
      <c r="D205" s="194"/>
      <c r="E205" s="194"/>
      <c r="F205" s="194"/>
      <c r="G205" s="193"/>
      <c r="H205" s="193"/>
      <c r="I205" s="35"/>
      <c r="J205" s="35"/>
      <c r="K205" s="35"/>
      <c r="L205" s="35"/>
      <c r="M205" s="35"/>
      <c r="N205" s="35"/>
      <c r="O205" s="35"/>
      <c r="P205" s="35"/>
      <c r="Q205" s="38"/>
      <c r="R205" s="35"/>
      <c r="S205" s="35"/>
      <c r="T205" s="35"/>
      <c r="U205" s="35"/>
      <c r="W205" s="29"/>
      <c r="X205" s="29"/>
      <c r="Y205" s="29"/>
      <c r="Z205" s="29"/>
      <c r="AA205" s="29"/>
      <c r="AB205" s="48"/>
    </row>
    <row r="206" spans="1:28" s="11" customFormat="1" x14ac:dyDescent="0.35">
      <c r="A206" s="15"/>
      <c r="B206" s="16"/>
      <c r="C206" s="17"/>
      <c r="D206" s="194"/>
      <c r="E206" s="194"/>
      <c r="F206" s="194"/>
      <c r="G206" s="193"/>
      <c r="H206" s="193"/>
      <c r="I206" s="35"/>
      <c r="J206" s="35"/>
      <c r="K206" s="35"/>
      <c r="L206" s="35"/>
      <c r="M206" s="35"/>
      <c r="N206" s="35"/>
      <c r="O206" s="35"/>
      <c r="P206" s="35"/>
      <c r="Q206" s="38"/>
      <c r="R206" s="35"/>
      <c r="S206" s="35"/>
      <c r="T206" s="35"/>
      <c r="U206" s="35"/>
      <c r="W206" s="29"/>
      <c r="X206" s="29"/>
      <c r="Y206" s="29"/>
      <c r="Z206" s="29"/>
      <c r="AA206" s="29"/>
      <c r="AB206" s="48"/>
    </row>
    <row r="207" spans="1:28" s="11" customFormat="1" x14ac:dyDescent="0.35">
      <c r="A207" s="15"/>
      <c r="B207" s="16"/>
      <c r="C207" s="17"/>
      <c r="D207" s="194"/>
      <c r="E207" s="194"/>
      <c r="F207" s="194"/>
      <c r="G207" s="193"/>
      <c r="H207" s="193"/>
      <c r="I207" s="35"/>
      <c r="J207" s="35"/>
      <c r="K207" s="35"/>
      <c r="L207" s="35"/>
      <c r="M207" s="35"/>
      <c r="N207" s="35"/>
      <c r="O207" s="35"/>
      <c r="P207" s="35"/>
      <c r="Q207" s="38"/>
      <c r="R207" s="35"/>
      <c r="S207" s="35"/>
      <c r="T207" s="35"/>
      <c r="U207" s="35"/>
      <c r="W207" s="29"/>
      <c r="X207" s="29"/>
      <c r="Y207" s="29"/>
      <c r="Z207" s="29"/>
      <c r="AA207" s="29"/>
      <c r="AB207" s="48"/>
    </row>
    <row r="208" spans="1:28" s="11" customFormat="1" x14ac:dyDescent="0.35">
      <c r="A208" s="15"/>
      <c r="B208" s="16"/>
      <c r="C208" s="17"/>
      <c r="D208" s="194"/>
      <c r="E208" s="194"/>
      <c r="F208" s="194"/>
      <c r="G208" s="193"/>
      <c r="H208" s="193"/>
      <c r="I208" s="35"/>
      <c r="J208" s="35"/>
      <c r="K208" s="35"/>
      <c r="L208" s="35"/>
      <c r="M208" s="35"/>
      <c r="N208" s="35"/>
      <c r="O208" s="35"/>
      <c r="P208" s="35"/>
      <c r="Q208" s="38"/>
      <c r="R208" s="35"/>
      <c r="S208" s="35"/>
      <c r="T208" s="35"/>
      <c r="U208" s="35"/>
      <c r="W208" s="29"/>
      <c r="X208" s="29"/>
      <c r="Y208" s="29"/>
      <c r="Z208" s="29"/>
      <c r="AA208" s="29"/>
      <c r="AB208" s="48"/>
    </row>
    <row r="209" spans="1:28" s="11" customFormat="1" x14ac:dyDescent="0.35">
      <c r="A209" s="15"/>
      <c r="B209" s="16"/>
      <c r="C209" s="17"/>
      <c r="D209" s="194"/>
      <c r="E209" s="194"/>
      <c r="F209" s="194"/>
      <c r="G209" s="193"/>
      <c r="H209" s="193"/>
      <c r="I209" s="35"/>
      <c r="J209" s="35"/>
      <c r="K209" s="35"/>
      <c r="L209" s="35"/>
      <c r="M209" s="35"/>
      <c r="N209" s="35"/>
      <c r="O209" s="35"/>
      <c r="P209" s="35"/>
      <c r="Q209" s="38"/>
      <c r="R209" s="35"/>
      <c r="S209" s="35"/>
      <c r="T209" s="35"/>
      <c r="U209" s="35"/>
      <c r="W209" s="29"/>
      <c r="X209" s="29"/>
      <c r="Y209" s="29"/>
      <c r="Z209" s="29"/>
      <c r="AA209" s="29"/>
      <c r="AB209" s="48"/>
    </row>
    <row r="210" spans="1:28" s="11" customFormat="1" x14ac:dyDescent="0.35">
      <c r="A210" s="15"/>
      <c r="B210" s="16"/>
      <c r="C210" s="17"/>
      <c r="D210" s="194"/>
      <c r="E210" s="194"/>
      <c r="F210" s="194"/>
      <c r="G210" s="193"/>
      <c r="H210" s="193"/>
      <c r="I210" s="35"/>
      <c r="J210" s="35"/>
      <c r="K210" s="35"/>
      <c r="L210" s="35"/>
      <c r="M210" s="35"/>
      <c r="N210" s="35"/>
      <c r="O210" s="35"/>
      <c r="P210" s="35"/>
      <c r="Q210" s="38"/>
      <c r="R210" s="35"/>
      <c r="S210" s="35"/>
      <c r="T210" s="35"/>
      <c r="U210" s="35"/>
      <c r="W210" s="29"/>
      <c r="X210" s="29"/>
      <c r="Y210" s="29"/>
      <c r="Z210" s="29"/>
      <c r="AA210" s="29"/>
      <c r="AB210" s="48"/>
    </row>
    <row r="211" spans="1:28" s="11" customFormat="1" x14ac:dyDescent="0.35">
      <c r="A211" s="15"/>
      <c r="B211" s="16"/>
      <c r="C211" s="17"/>
      <c r="D211" s="194"/>
      <c r="E211" s="194"/>
      <c r="F211" s="194"/>
      <c r="G211" s="193"/>
      <c r="H211" s="193"/>
      <c r="I211" s="35"/>
      <c r="J211" s="35"/>
      <c r="K211" s="35"/>
      <c r="L211" s="35"/>
      <c r="M211" s="35"/>
      <c r="N211" s="35"/>
      <c r="O211" s="35"/>
      <c r="P211" s="35"/>
      <c r="Q211" s="38"/>
      <c r="R211" s="35"/>
      <c r="S211" s="35"/>
      <c r="T211" s="35"/>
      <c r="U211" s="35"/>
      <c r="W211" s="29"/>
      <c r="X211" s="29"/>
      <c r="Y211" s="29"/>
      <c r="Z211" s="29"/>
      <c r="AA211" s="29"/>
      <c r="AB211" s="48"/>
    </row>
    <row r="212" spans="1:28" s="11" customFormat="1" x14ac:dyDescent="0.35">
      <c r="A212" s="15"/>
      <c r="B212" s="16"/>
      <c r="C212" s="17"/>
      <c r="D212" s="194"/>
      <c r="E212" s="194"/>
      <c r="F212" s="194"/>
      <c r="G212" s="193"/>
      <c r="H212" s="193"/>
      <c r="I212" s="35"/>
      <c r="J212" s="35"/>
      <c r="K212" s="35"/>
      <c r="L212" s="35"/>
      <c r="M212" s="35"/>
      <c r="N212" s="35"/>
      <c r="O212" s="35"/>
      <c r="P212" s="35"/>
      <c r="Q212" s="38"/>
      <c r="R212" s="35"/>
      <c r="S212" s="35"/>
      <c r="T212" s="35"/>
      <c r="U212" s="35"/>
      <c r="W212" s="29"/>
      <c r="X212" s="29"/>
      <c r="Y212" s="29"/>
      <c r="Z212" s="29"/>
      <c r="AA212" s="29"/>
      <c r="AB212" s="48"/>
    </row>
    <row r="213" spans="1:28" s="11" customFormat="1" x14ac:dyDescent="0.35">
      <c r="A213" s="15"/>
      <c r="B213" s="16"/>
      <c r="C213" s="17"/>
      <c r="D213" s="194"/>
      <c r="E213" s="194"/>
      <c r="F213" s="194"/>
      <c r="G213" s="193"/>
      <c r="H213" s="193"/>
      <c r="I213" s="35"/>
      <c r="J213" s="35"/>
      <c r="K213" s="35"/>
      <c r="L213" s="35"/>
      <c r="M213" s="35"/>
      <c r="N213" s="35"/>
      <c r="O213" s="35"/>
      <c r="P213" s="35"/>
      <c r="Q213" s="38"/>
      <c r="R213" s="35"/>
      <c r="S213" s="35"/>
      <c r="T213" s="35"/>
      <c r="U213" s="35"/>
      <c r="W213" s="29"/>
      <c r="X213" s="29"/>
      <c r="Y213" s="29"/>
      <c r="Z213" s="29"/>
      <c r="AA213" s="29"/>
      <c r="AB213" s="48"/>
    </row>
    <row r="214" spans="1:28" s="11" customFormat="1" x14ac:dyDescent="0.35">
      <c r="A214" s="15"/>
      <c r="B214" s="16"/>
      <c r="C214" s="17"/>
      <c r="D214" s="194"/>
      <c r="E214" s="194"/>
      <c r="F214" s="194"/>
      <c r="G214" s="193"/>
      <c r="H214" s="193"/>
      <c r="I214" s="35"/>
      <c r="J214" s="35"/>
      <c r="K214" s="35"/>
      <c r="L214" s="35"/>
      <c r="M214" s="35"/>
      <c r="N214" s="35"/>
      <c r="O214" s="35"/>
      <c r="P214" s="35"/>
      <c r="Q214" s="38"/>
      <c r="R214" s="35"/>
      <c r="S214" s="35"/>
      <c r="T214" s="35"/>
      <c r="U214" s="35"/>
      <c r="W214" s="29"/>
      <c r="X214" s="29"/>
      <c r="Y214" s="29"/>
      <c r="Z214" s="29"/>
      <c r="AA214" s="29"/>
      <c r="AB214" s="48"/>
    </row>
    <row r="215" spans="1:28" s="11" customFormat="1" x14ac:dyDescent="0.35">
      <c r="A215" s="15"/>
      <c r="B215" s="16"/>
      <c r="C215" s="17"/>
      <c r="D215" s="194"/>
      <c r="E215" s="194"/>
      <c r="F215" s="194"/>
      <c r="G215" s="193"/>
      <c r="H215" s="193"/>
      <c r="I215" s="35"/>
      <c r="J215" s="35"/>
      <c r="K215" s="35"/>
      <c r="L215" s="35"/>
      <c r="M215" s="35"/>
      <c r="N215" s="35"/>
      <c r="O215" s="35"/>
      <c r="P215" s="35"/>
      <c r="Q215" s="38"/>
      <c r="R215" s="35"/>
      <c r="S215" s="35"/>
      <c r="T215" s="35"/>
      <c r="U215" s="35"/>
      <c r="W215" s="29"/>
      <c r="X215" s="29"/>
      <c r="Y215" s="29"/>
      <c r="Z215" s="29"/>
      <c r="AA215" s="29"/>
      <c r="AB215" s="48"/>
    </row>
    <row r="216" spans="1:28" s="11" customFormat="1" x14ac:dyDescent="0.35">
      <c r="A216" s="15"/>
      <c r="B216" s="16"/>
      <c r="C216" s="17"/>
      <c r="D216" s="194"/>
      <c r="E216" s="194"/>
      <c r="F216" s="194"/>
      <c r="G216" s="193"/>
      <c r="H216" s="193"/>
      <c r="I216" s="35"/>
      <c r="J216" s="35"/>
      <c r="K216" s="35"/>
      <c r="L216" s="35"/>
      <c r="M216" s="35"/>
      <c r="N216" s="35"/>
      <c r="O216" s="35"/>
      <c r="P216" s="35"/>
      <c r="Q216" s="38"/>
      <c r="R216" s="35"/>
      <c r="S216" s="35"/>
      <c r="T216" s="35"/>
      <c r="U216" s="35"/>
      <c r="W216" s="29"/>
      <c r="X216" s="29"/>
      <c r="Y216" s="29"/>
      <c r="Z216" s="29"/>
      <c r="AA216" s="29"/>
      <c r="AB216" s="48"/>
    </row>
    <row r="217" spans="1:28" s="11" customFormat="1" x14ac:dyDescent="0.35">
      <c r="A217" s="15"/>
      <c r="B217" s="16"/>
      <c r="C217" s="17"/>
      <c r="D217" s="194"/>
      <c r="E217" s="194"/>
      <c r="F217" s="194"/>
      <c r="G217" s="193"/>
      <c r="H217" s="193"/>
      <c r="I217" s="35"/>
      <c r="J217" s="35"/>
      <c r="K217" s="35"/>
      <c r="L217" s="35"/>
      <c r="M217" s="35"/>
      <c r="N217" s="35"/>
      <c r="O217" s="35"/>
      <c r="P217" s="35"/>
      <c r="Q217" s="38"/>
      <c r="R217" s="35"/>
      <c r="S217" s="35"/>
      <c r="T217" s="35"/>
      <c r="U217" s="35"/>
      <c r="W217" s="29"/>
      <c r="X217" s="29"/>
      <c r="Y217" s="29"/>
      <c r="Z217" s="29"/>
      <c r="AA217" s="29"/>
      <c r="AB217" s="48"/>
    </row>
    <row r="218" spans="1:28" s="11" customFormat="1" x14ac:dyDescent="0.35">
      <c r="A218" s="15"/>
      <c r="B218" s="16"/>
      <c r="C218" s="17"/>
      <c r="D218" s="194"/>
      <c r="E218" s="194"/>
      <c r="F218" s="194"/>
      <c r="G218" s="193"/>
      <c r="H218" s="193"/>
      <c r="I218" s="35"/>
      <c r="J218" s="35"/>
      <c r="K218" s="35"/>
      <c r="L218" s="35"/>
      <c r="M218" s="35"/>
      <c r="N218" s="35"/>
      <c r="O218" s="35"/>
      <c r="P218" s="35"/>
      <c r="Q218" s="38"/>
      <c r="R218" s="35"/>
      <c r="S218" s="35"/>
      <c r="T218" s="35"/>
      <c r="U218" s="35"/>
      <c r="W218" s="29"/>
      <c r="X218" s="29"/>
      <c r="Y218" s="29"/>
      <c r="Z218" s="29"/>
      <c r="AA218" s="29"/>
      <c r="AB218" s="48"/>
    </row>
    <row r="219" spans="1:28" s="11" customFormat="1" x14ac:dyDescent="0.35">
      <c r="A219" s="15"/>
      <c r="B219" s="16"/>
      <c r="C219" s="17"/>
      <c r="D219" s="194"/>
      <c r="E219" s="194"/>
      <c r="F219" s="194"/>
      <c r="G219" s="193"/>
      <c r="H219" s="193"/>
      <c r="I219" s="35"/>
      <c r="J219" s="35"/>
      <c r="K219" s="35"/>
      <c r="L219" s="35"/>
      <c r="M219" s="35"/>
      <c r="N219" s="35"/>
      <c r="O219" s="35"/>
      <c r="P219" s="35"/>
      <c r="Q219" s="38"/>
      <c r="R219" s="35"/>
      <c r="S219" s="35"/>
      <c r="T219" s="35"/>
      <c r="U219" s="35"/>
      <c r="W219" s="29"/>
      <c r="X219" s="29"/>
      <c r="Y219" s="29"/>
      <c r="Z219" s="29"/>
      <c r="AA219" s="29"/>
      <c r="AB219" s="48"/>
    </row>
    <row r="220" spans="1:28" s="11" customFormat="1" x14ac:dyDescent="0.35">
      <c r="A220" s="15"/>
      <c r="B220" s="16"/>
      <c r="C220" s="17"/>
      <c r="D220" s="194"/>
      <c r="E220" s="194"/>
      <c r="F220" s="194"/>
      <c r="G220" s="193"/>
      <c r="H220" s="193"/>
      <c r="I220" s="35"/>
      <c r="J220" s="35"/>
      <c r="K220" s="35"/>
      <c r="L220" s="35"/>
      <c r="M220" s="35"/>
      <c r="N220" s="35"/>
      <c r="O220" s="35"/>
      <c r="P220" s="35"/>
      <c r="Q220" s="38"/>
      <c r="R220" s="35"/>
      <c r="S220" s="35"/>
      <c r="T220" s="35"/>
      <c r="U220" s="35"/>
      <c r="W220" s="29"/>
      <c r="X220" s="29"/>
      <c r="Y220" s="29"/>
      <c r="Z220" s="29"/>
      <c r="AA220" s="29"/>
      <c r="AB220" s="48"/>
    </row>
    <row r="221" spans="1:28" s="11" customFormat="1" x14ac:dyDescent="0.35">
      <c r="A221" s="15"/>
      <c r="B221" s="16"/>
      <c r="C221" s="17"/>
      <c r="D221" s="194"/>
      <c r="E221" s="194"/>
      <c r="F221" s="194"/>
      <c r="G221" s="193"/>
      <c r="H221" s="193"/>
      <c r="I221" s="35"/>
      <c r="J221" s="35"/>
      <c r="K221" s="35"/>
      <c r="L221" s="35"/>
      <c r="M221" s="35"/>
      <c r="N221" s="35"/>
      <c r="O221" s="35"/>
      <c r="P221" s="35"/>
      <c r="Q221" s="38"/>
      <c r="R221" s="35"/>
      <c r="S221" s="35"/>
      <c r="T221" s="35"/>
      <c r="U221" s="35"/>
      <c r="W221" s="29"/>
      <c r="X221" s="29"/>
      <c r="Y221" s="29"/>
      <c r="Z221" s="29"/>
      <c r="AA221" s="29"/>
      <c r="AB221" s="48"/>
    </row>
    <row r="222" spans="1:28" s="11" customFormat="1" x14ac:dyDescent="0.35">
      <c r="A222" s="15"/>
      <c r="B222" s="16"/>
      <c r="C222" s="17"/>
      <c r="D222" s="194"/>
      <c r="E222" s="194"/>
      <c r="F222" s="194"/>
      <c r="G222" s="193"/>
      <c r="H222" s="193"/>
      <c r="I222" s="35"/>
      <c r="J222" s="35"/>
      <c r="K222" s="35"/>
      <c r="L222" s="35"/>
      <c r="M222" s="35"/>
      <c r="N222" s="35"/>
      <c r="O222" s="35"/>
      <c r="P222" s="35"/>
      <c r="Q222" s="38"/>
      <c r="R222" s="35"/>
      <c r="S222" s="35"/>
      <c r="T222" s="35"/>
      <c r="U222" s="35"/>
      <c r="W222" s="29"/>
      <c r="X222" s="29"/>
      <c r="Y222" s="29"/>
      <c r="Z222" s="29"/>
      <c r="AA222" s="29"/>
      <c r="AB222" s="48"/>
    </row>
    <row r="223" spans="1:28" s="11" customFormat="1" x14ac:dyDescent="0.35">
      <c r="A223" s="15"/>
      <c r="B223" s="16"/>
      <c r="C223" s="17"/>
      <c r="D223" s="194"/>
      <c r="E223" s="194"/>
      <c r="F223" s="194"/>
      <c r="G223" s="193"/>
      <c r="H223" s="193"/>
      <c r="I223" s="35"/>
      <c r="J223" s="35"/>
      <c r="K223" s="35"/>
      <c r="L223" s="35"/>
      <c r="M223" s="35"/>
      <c r="N223" s="35"/>
      <c r="O223" s="35"/>
      <c r="P223" s="35"/>
      <c r="Q223" s="38"/>
      <c r="R223" s="35"/>
      <c r="S223" s="35"/>
      <c r="T223" s="35"/>
      <c r="U223" s="35"/>
      <c r="W223" s="29"/>
      <c r="X223" s="29"/>
      <c r="Y223" s="29"/>
      <c r="Z223" s="29"/>
      <c r="AA223" s="29"/>
      <c r="AB223" s="48"/>
    </row>
    <row r="224" spans="1:28" s="11" customFormat="1" x14ac:dyDescent="0.35">
      <c r="A224" s="15"/>
      <c r="B224" s="16"/>
      <c r="C224" s="17"/>
      <c r="D224" s="194"/>
      <c r="E224" s="194"/>
      <c r="F224" s="194"/>
      <c r="G224" s="193"/>
      <c r="H224" s="193"/>
      <c r="I224" s="35"/>
      <c r="J224" s="35"/>
      <c r="K224" s="35"/>
      <c r="L224" s="35"/>
      <c r="M224" s="35"/>
      <c r="N224" s="35"/>
      <c r="O224" s="35"/>
      <c r="P224" s="35"/>
      <c r="Q224" s="38"/>
      <c r="R224" s="35"/>
      <c r="S224" s="35"/>
      <c r="T224" s="35"/>
      <c r="U224" s="35"/>
      <c r="W224" s="29"/>
      <c r="X224" s="29"/>
      <c r="Y224" s="29"/>
      <c r="Z224" s="29"/>
      <c r="AA224" s="29"/>
      <c r="AB224" s="48"/>
    </row>
    <row r="225" spans="1:28" s="11" customFormat="1" x14ac:dyDescent="0.35">
      <c r="A225" s="15"/>
      <c r="B225" s="16"/>
      <c r="C225" s="17"/>
      <c r="D225" s="194"/>
      <c r="E225" s="194"/>
      <c r="F225" s="194"/>
      <c r="G225" s="193"/>
      <c r="H225" s="193"/>
      <c r="I225" s="35"/>
      <c r="J225" s="35"/>
      <c r="K225" s="35"/>
      <c r="L225" s="35"/>
      <c r="M225" s="35"/>
      <c r="N225" s="35"/>
      <c r="O225" s="35"/>
      <c r="P225" s="35"/>
      <c r="Q225" s="38"/>
      <c r="R225" s="35"/>
      <c r="S225" s="35"/>
      <c r="T225" s="35"/>
      <c r="U225" s="35"/>
      <c r="W225" s="29"/>
      <c r="X225" s="29"/>
      <c r="Y225" s="29"/>
      <c r="Z225" s="29"/>
      <c r="AA225" s="29"/>
      <c r="AB225" s="48"/>
    </row>
    <row r="226" spans="1:28" s="11" customFormat="1" x14ac:dyDescent="0.35">
      <c r="A226" s="15"/>
      <c r="B226" s="16"/>
      <c r="C226" s="17"/>
      <c r="D226" s="194"/>
      <c r="E226" s="194"/>
      <c r="F226" s="194"/>
      <c r="G226" s="193"/>
      <c r="H226" s="193"/>
      <c r="I226" s="35"/>
      <c r="J226" s="35"/>
      <c r="K226" s="35"/>
      <c r="L226" s="35"/>
      <c r="M226" s="35"/>
      <c r="N226" s="35"/>
      <c r="O226" s="35"/>
      <c r="P226" s="35"/>
      <c r="Q226" s="38"/>
      <c r="R226" s="35"/>
      <c r="S226" s="35"/>
      <c r="T226" s="35"/>
      <c r="U226" s="35"/>
      <c r="W226" s="29"/>
      <c r="X226" s="29"/>
      <c r="Y226" s="29"/>
      <c r="Z226" s="29"/>
      <c r="AA226" s="29"/>
      <c r="AB226" s="48"/>
    </row>
    <row r="227" spans="1:28" s="11" customFormat="1" x14ac:dyDescent="0.35">
      <c r="A227" s="15"/>
      <c r="B227" s="16"/>
      <c r="C227" s="17"/>
      <c r="D227" s="194"/>
      <c r="E227" s="194"/>
      <c r="F227" s="194"/>
      <c r="G227" s="193"/>
      <c r="H227" s="193"/>
      <c r="I227" s="35"/>
      <c r="J227" s="35"/>
      <c r="K227" s="35"/>
      <c r="L227" s="35"/>
      <c r="M227" s="35"/>
      <c r="N227" s="35"/>
      <c r="O227" s="35"/>
      <c r="P227" s="35"/>
      <c r="Q227" s="38"/>
      <c r="R227" s="35"/>
      <c r="S227" s="35"/>
      <c r="T227" s="35"/>
      <c r="U227" s="35"/>
      <c r="W227" s="29"/>
      <c r="X227" s="29"/>
      <c r="Y227" s="29"/>
      <c r="Z227" s="29"/>
      <c r="AA227" s="29"/>
      <c r="AB227" s="48"/>
    </row>
    <row r="228" spans="1:28" s="11" customFormat="1" x14ac:dyDescent="0.35">
      <c r="A228" s="15"/>
      <c r="B228" s="16"/>
      <c r="C228" s="17"/>
      <c r="D228" s="194"/>
      <c r="E228" s="194"/>
      <c r="F228" s="194"/>
      <c r="G228" s="193"/>
      <c r="H228" s="193"/>
      <c r="I228" s="35"/>
      <c r="J228" s="35"/>
      <c r="K228" s="35"/>
      <c r="L228" s="35"/>
      <c r="M228" s="35"/>
      <c r="N228" s="35"/>
      <c r="O228" s="35"/>
      <c r="P228" s="35"/>
      <c r="Q228" s="38"/>
      <c r="R228" s="35"/>
      <c r="S228" s="35"/>
      <c r="T228" s="35"/>
      <c r="U228" s="35"/>
      <c r="W228" s="29"/>
      <c r="X228" s="29"/>
      <c r="Y228" s="29"/>
      <c r="Z228" s="29"/>
      <c r="AA228" s="29"/>
      <c r="AB228" s="48"/>
    </row>
    <row r="229" spans="1:28" s="11" customFormat="1" x14ac:dyDescent="0.35">
      <c r="A229" s="15"/>
      <c r="B229" s="16"/>
      <c r="C229" s="17"/>
      <c r="D229" s="194"/>
      <c r="E229" s="194"/>
      <c r="F229" s="194"/>
      <c r="G229" s="193"/>
      <c r="H229" s="193"/>
      <c r="I229" s="35"/>
      <c r="J229" s="35"/>
      <c r="K229" s="35"/>
      <c r="L229" s="35"/>
      <c r="M229" s="35"/>
      <c r="N229" s="35"/>
      <c r="O229" s="35"/>
      <c r="P229" s="35"/>
      <c r="Q229" s="38"/>
      <c r="R229" s="35"/>
      <c r="S229" s="35"/>
      <c r="T229" s="35"/>
      <c r="U229" s="35"/>
      <c r="W229" s="29"/>
      <c r="X229" s="29"/>
      <c r="Y229" s="29"/>
      <c r="Z229" s="29"/>
      <c r="AA229" s="29"/>
      <c r="AB229" s="48"/>
    </row>
    <row r="230" spans="1:28" s="11" customFormat="1" x14ac:dyDescent="0.35">
      <c r="A230" s="15"/>
      <c r="B230" s="16"/>
      <c r="C230" s="17"/>
      <c r="D230" s="194"/>
      <c r="E230" s="194"/>
      <c r="F230" s="194"/>
      <c r="G230" s="193"/>
      <c r="H230" s="193"/>
      <c r="I230" s="35"/>
      <c r="J230" s="35"/>
      <c r="K230" s="35"/>
      <c r="L230" s="35"/>
      <c r="M230" s="35"/>
      <c r="N230" s="35"/>
      <c r="O230" s="35"/>
      <c r="P230" s="35"/>
      <c r="Q230" s="38"/>
      <c r="R230" s="35"/>
      <c r="S230" s="35"/>
      <c r="T230" s="35"/>
      <c r="U230" s="35"/>
      <c r="W230" s="29"/>
      <c r="X230" s="29"/>
      <c r="Y230" s="29"/>
      <c r="Z230" s="29"/>
      <c r="AA230" s="29"/>
      <c r="AB230" s="48"/>
    </row>
    <row r="231" spans="1:28" s="11" customFormat="1" x14ac:dyDescent="0.35">
      <c r="A231" s="15"/>
      <c r="B231" s="16"/>
      <c r="C231" s="17"/>
      <c r="D231" s="194"/>
      <c r="E231" s="194"/>
      <c r="F231" s="194"/>
      <c r="G231" s="193"/>
      <c r="H231" s="193"/>
      <c r="I231" s="35"/>
      <c r="J231" s="35"/>
      <c r="K231" s="35"/>
      <c r="L231" s="35"/>
      <c r="M231" s="35"/>
      <c r="N231" s="35"/>
      <c r="O231" s="35"/>
      <c r="P231" s="35"/>
      <c r="Q231" s="38"/>
      <c r="R231" s="35"/>
      <c r="S231" s="35"/>
      <c r="T231" s="35"/>
      <c r="U231" s="35"/>
      <c r="W231" s="29"/>
      <c r="X231" s="29"/>
      <c r="Y231" s="29"/>
      <c r="Z231" s="29"/>
      <c r="AA231" s="29"/>
      <c r="AB231" s="48"/>
    </row>
    <row r="232" spans="1:28" s="11" customFormat="1" x14ac:dyDescent="0.35">
      <c r="A232" s="15"/>
      <c r="B232" s="16"/>
      <c r="C232" s="17"/>
      <c r="D232" s="194"/>
      <c r="E232" s="194"/>
      <c r="F232" s="194"/>
      <c r="G232" s="193"/>
      <c r="H232" s="193"/>
      <c r="I232" s="35"/>
      <c r="J232" s="35"/>
      <c r="K232" s="35"/>
      <c r="L232" s="35"/>
      <c r="M232" s="35"/>
      <c r="N232" s="35"/>
      <c r="O232" s="35"/>
      <c r="P232" s="35"/>
      <c r="Q232" s="38"/>
      <c r="R232" s="35"/>
      <c r="S232" s="35"/>
      <c r="T232" s="35"/>
      <c r="U232" s="35"/>
      <c r="W232" s="29"/>
      <c r="X232" s="29"/>
      <c r="Y232" s="29"/>
      <c r="Z232" s="29"/>
      <c r="AA232" s="29"/>
      <c r="AB232" s="48"/>
    </row>
    <row r="233" spans="1:28" s="11" customFormat="1" x14ac:dyDescent="0.35">
      <c r="A233" s="15"/>
      <c r="B233" s="16"/>
      <c r="C233" s="17"/>
      <c r="D233" s="194"/>
      <c r="E233" s="194"/>
      <c r="F233" s="194"/>
      <c r="G233" s="193"/>
      <c r="H233" s="193"/>
      <c r="I233" s="35"/>
      <c r="J233" s="35"/>
      <c r="K233" s="35"/>
      <c r="L233" s="35"/>
      <c r="M233" s="35"/>
      <c r="N233" s="35"/>
      <c r="O233" s="35"/>
      <c r="P233" s="35"/>
      <c r="Q233" s="38"/>
      <c r="R233" s="35"/>
      <c r="S233" s="35"/>
      <c r="T233" s="35"/>
      <c r="U233" s="35"/>
      <c r="W233" s="29"/>
      <c r="X233" s="29"/>
      <c r="Y233" s="29"/>
      <c r="Z233" s="29"/>
      <c r="AA233" s="29"/>
      <c r="AB233" s="48"/>
    </row>
    <row r="234" spans="1:28" s="11" customFormat="1" x14ac:dyDescent="0.35">
      <c r="A234" s="15"/>
      <c r="B234" s="16"/>
      <c r="C234" s="17"/>
      <c r="D234" s="194"/>
      <c r="E234" s="194"/>
      <c r="F234" s="194"/>
      <c r="G234" s="193"/>
      <c r="H234" s="193"/>
      <c r="I234" s="35"/>
      <c r="J234" s="35"/>
      <c r="K234" s="35"/>
      <c r="L234" s="35"/>
      <c r="M234" s="35"/>
      <c r="N234" s="35"/>
      <c r="O234" s="35"/>
      <c r="P234" s="35"/>
      <c r="Q234" s="38"/>
      <c r="R234" s="35"/>
      <c r="S234" s="35"/>
      <c r="T234" s="35"/>
      <c r="U234" s="35"/>
      <c r="W234" s="29"/>
      <c r="X234" s="29"/>
      <c r="Y234" s="29"/>
      <c r="Z234" s="29"/>
      <c r="AA234" s="29"/>
      <c r="AB234" s="48"/>
    </row>
    <row r="235" spans="1:28" s="11" customFormat="1" x14ac:dyDescent="0.35">
      <c r="A235" s="15"/>
      <c r="B235" s="16"/>
      <c r="C235" s="17"/>
      <c r="D235" s="194"/>
      <c r="E235" s="194"/>
      <c r="F235" s="194"/>
      <c r="G235" s="193"/>
      <c r="H235" s="193"/>
      <c r="I235" s="35"/>
      <c r="J235" s="35"/>
      <c r="K235" s="35"/>
      <c r="L235" s="35"/>
      <c r="M235" s="35"/>
      <c r="N235" s="35"/>
      <c r="O235" s="35"/>
      <c r="P235" s="35"/>
      <c r="Q235" s="38"/>
      <c r="R235" s="35"/>
      <c r="S235" s="35"/>
      <c r="T235" s="35"/>
      <c r="U235" s="35"/>
      <c r="W235" s="29"/>
      <c r="X235" s="29"/>
      <c r="Y235" s="29"/>
      <c r="Z235" s="29"/>
      <c r="AA235" s="29"/>
      <c r="AB235" s="48"/>
    </row>
    <row r="236" spans="1:28" s="11" customFormat="1" x14ac:dyDescent="0.35">
      <c r="A236" s="15"/>
      <c r="B236" s="16"/>
      <c r="C236" s="17"/>
      <c r="D236" s="194"/>
      <c r="E236" s="194"/>
      <c r="F236" s="194"/>
      <c r="G236" s="193"/>
      <c r="H236" s="193"/>
      <c r="I236" s="35"/>
      <c r="J236" s="35"/>
      <c r="K236" s="35"/>
      <c r="L236" s="35"/>
      <c r="M236" s="35"/>
      <c r="N236" s="35"/>
      <c r="O236" s="35"/>
      <c r="P236" s="35"/>
      <c r="Q236" s="38"/>
      <c r="R236" s="35"/>
      <c r="S236" s="35"/>
      <c r="T236" s="35"/>
      <c r="U236" s="35"/>
      <c r="W236" s="29"/>
      <c r="X236" s="29"/>
      <c r="Y236" s="29"/>
      <c r="Z236" s="29"/>
      <c r="AA236" s="29"/>
      <c r="AB236" s="48"/>
    </row>
    <row r="237" spans="1:28" s="11" customFormat="1" x14ac:dyDescent="0.35">
      <c r="A237" s="15"/>
      <c r="B237" s="16"/>
      <c r="C237" s="17"/>
      <c r="D237" s="194"/>
      <c r="E237" s="194"/>
      <c r="F237" s="194"/>
      <c r="G237" s="193"/>
      <c r="H237" s="193"/>
      <c r="I237" s="35"/>
      <c r="J237" s="35"/>
      <c r="K237" s="35"/>
      <c r="L237" s="35"/>
      <c r="M237" s="35"/>
      <c r="N237" s="35"/>
      <c r="O237" s="35"/>
      <c r="P237" s="35"/>
      <c r="Q237" s="38"/>
      <c r="R237" s="35"/>
      <c r="S237" s="35"/>
      <c r="T237" s="35"/>
      <c r="U237" s="35"/>
      <c r="W237" s="29"/>
      <c r="X237" s="29"/>
      <c r="Y237" s="29"/>
      <c r="Z237" s="29"/>
      <c r="AA237" s="29"/>
      <c r="AB237" s="48"/>
    </row>
    <row r="238" spans="1:28" s="11" customFormat="1" x14ac:dyDescent="0.35">
      <c r="A238" s="15"/>
      <c r="B238" s="16"/>
      <c r="C238" s="17"/>
      <c r="D238" s="194"/>
      <c r="E238" s="194"/>
      <c r="F238" s="194"/>
      <c r="G238" s="193"/>
      <c r="H238" s="193"/>
      <c r="I238" s="35"/>
      <c r="J238" s="35"/>
      <c r="K238" s="35"/>
      <c r="L238" s="35"/>
      <c r="M238" s="35"/>
      <c r="N238" s="35"/>
      <c r="O238" s="35"/>
      <c r="P238" s="35"/>
      <c r="Q238" s="38"/>
      <c r="R238" s="35"/>
      <c r="S238" s="35"/>
      <c r="T238" s="35"/>
      <c r="U238" s="35"/>
      <c r="W238" s="29"/>
      <c r="X238" s="29"/>
      <c r="Y238" s="29"/>
      <c r="Z238" s="29"/>
      <c r="AA238" s="29"/>
      <c r="AB238" s="48"/>
    </row>
    <row r="239" spans="1:28" s="11" customFormat="1" x14ac:dyDescent="0.35">
      <c r="A239" s="15"/>
      <c r="B239" s="16"/>
      <c r="C239" s="17"/>
      <c r="D239" s="194"/>
      <c r="E239" s="194"/>
      <c r="F239" s="194"/>
      <c r="G239" s="193"/>
      <c r="H239" s="193"/>
      <c r="I239" s="35"/>
      <c r="J239" s="35"/>
      <c r="K239" s="35"/>
      <c r="L239" s="35"/>
      <c r="M239" s="35"/>
      <c r="N239" s="35"/>
      <c r="O239" s="35"/>
      <c r="P239" s="35"/>
      <c r="Q239" s="38"/>
      <c r="R239" s="35"/>
      <c r="S239" s="35"/>
      <c r="T239" s="35"/>
      <c r="U239" s="35"/>
      <c r="W239" s="29"/>
      <c r="X239" s="29"/>
      <c r="Y239" s="29"/>
      <c r="Z239" s="29"/>
      <c r="AA239" s="29"/>
      <c r="AB239" s="48"/>
    </row>
    <row r="240" spans="1:28" s="11" customFormat="1" x14ac:dyDescent="0.35">
      <c r="A240" s="15"/>
      <c r="B240" s="16"/>
      <c r="C240" s="17"/>
      <c r="D240" s="194"/>
      <c r="E240" s="194"/>
      <c r="F240" s="194"/>
      <c r="G240" s="193"/>
      <c r="H240" s="193"/>
      <c r="I240" s="35"/>
      <c r="J240" s="35"/>
      <c r="K240" s="35"/>
      <c r="L240" s="35"/>
      <c r="M240" s="35"/>
      <c r="N240" s="35"/>
      <c r="O240" s="35"/>
      <c r="P240" s="35"/>
      <c r="Q240" s="38"/>
      <c r="R240" s="35"/>
      <c r="S240" s="35"/>
      <c r="T240" s="35"/>
      <c r="U240" s="35"/>
      <c r="W240" s="29"/>
      <c r="X240" s="29"/>
      <c r="Y240" s="29"/>
      <c r="Z240" s="29"/>
      <c r="AA240" s="29"/>
      <c r="AB240" s="48"/>
    </row>
    <row r="241" spans="1:28" s="11" customFormat="1" x14ac:dyDescent="0.35">
      <c r="A241" s="15"/>
      <c r="B241" s="16"/>
      <c r="C241" s="17"/>
      <c r="D241" s="194"/>
      <c r="E241" s="194"/>
      <c r="F241" s="194"/>
      <c r="G241" s="193"/>
      <c r="H241" s="193"/>
      <c r="I241" s="35"/>
      <c r="J241" s="35"/>
      <c r="K241" s="35"/>
      <c r="L241" s="35"/>
      <c r="M241" s="35"/>
      <c r="N241" s="35"/>
      <c r="O241" s="35"/>
      <c r="P241" s="35"/>
      <c r="Q241" s="38"/>
      <c r="R241" s="35"/>
      <c r="S241" s="35"/>
      <c r="T241" s="35"/>
      <c r="U241" s="35"/>
      <c r="W241" s="29"/>
      <c r="X241" s="29"/>
      <c r="Y241" s="29"/>
      <c r="Z241" s="29"/>
      <c r="AA241" s="29"/>
      <c r="AB241" s="48"/>
    </row>
    <row r="242" spans="1:28" s="11" customFormat="1" x14ac:dyDescent="0.35">
      <c r="A242" s="15"/>
      <c r="B242" s="16"/>
      <c r="C242" s="17"/>
      <c r="D242" s="194"/>
      <c r="E242" s="194"/>
      <c r="F242" s="194"/>
      <c r="G242" s="193"/>
      <c r="H242" s="193"/>
      <c r="I242" s="35"/>
      <c r="J242" s="35"/>
      <c r="K242" s="35"/>
      <c r="L242" s="35"/>
      <c r="M242" s="35"/>
      <c r="N242" s="35"/>
      <c r="O242" s="35"/>
      <c r="P242" s="35"/>
      <c r="Q242" s="38"/>
      <c r="R242" s="35"/>
      <c r="S242" s="35"/>
      <c r="T242" s="35"/>
      <c r="U242" s="35"/>
      <c r="W242" s="29"/>
      <c r="X242" s="29"/>
      <c r="Y242" s="29"/>
      <c r="Z242" s="29"/>
      <c r="AA242" s="29"/>
      <c r="AB242" s="48"/>
    </row>
    <row r="243" spans="1:28" s="11" customFormat="1" x14ac:dyDescent="0.35">
      <c r="A243" s="15"/>
      <c r="B243" s="16"/>
      <c r="C243" s="17"/>
      <c r="D243" s="194"/>
      <c r="E243" s="194"/>
      <c r="F243" s="194"/>
      <c r="G243" s="193"/>
      <c r="H243" s="193"/>
      <c r="I243" s="35"/>
      <c r="J243" s="35"/>
      <c r="K243" s="35"/>
      <c r="L243" s="35"/>
      <c r="M243" s="35"/>
      <c r="N243" s="35"/>
      <c r="O243" s="35"/>
      <c r="P243" s="35"/>
      <c r="Q243" s="38"/>
      <c r="R243" s="35"/>
      <c r="S243" s="35"/>
      <c r="T243" s="35"/>
      <c r="U243" s="35"/>
      <c r="W243" s="29"/>
      <c r="X243" s="29"/>
      <c r="Y243" s="29"/>
      <c r="Z243" s="29"/>
      <c r="AA243" s="29"/>
      <c r="AB243" s="48"/>
    </row>
    <row r="244" spans="1:28" s="11" customFormat="1" x14ac:dyDescent="0.35">
      <c r="A244" s="15"/>
      <c r="B244" s="16"/>
      <c r="C244" s="17"/>
      <c r="D244" s="194"/>
      <c r="E244" s="194"/>
      <c r="F244" s="194"/>
      <c r="G244" s="193"/>
      <c r="H244" s="193"/>
      <c r="I244" s="35"/>
      <c r="J244" s="35"/>
      <c r="K244" s="35"/>
      <c r="L244" s="35"/>
      <c r="M244" s="35"/>
      <c r="N244" s="35"/>
      <c r="O244" s="35"/>
      <c r="P244" s="35"/>
      <c r="Q244" s="38"/>
      <c r="R244" s="35"/>
      <c r="S244" s="35"/>
      <c r="T244" s="35"/>
      <c r="U244" s="35"/>
      <c r="W244" s="29"/>
      <c r="X244" s="29"/>
      <c r="Y244" s="29"/>
      <c r="Z244" s="29"/>
      <c r="AA244" s="29"/>
      <c r="AB244" s="48"/>
    </row>
    <row r="245" spans="1:28" s="11" customFormat="1" x14ac:dyDescent="0.35">
      <c r="A245" s="15"/>
      <c r="B245" s="16"/>
      <c r="C245" s="17"/>
      <c r="D245" s="194"/>
      <c r="E245" s="194"/>
      <c r="F245" s="194"/>
      <c r="G245" s="193"/>
      <c r="H245" s="193"/>
      <c r="I245" s="35"/>
      <c r="J245" s="35"/>
      <c r="K245" s="35"/>
      <c r="L245" s="35"/>
      <c r="M245" s="35"/>
      <c r="N245" s="35"/>
      <c r="O245" s="35"/>
      <c r="P245" s="35"/>
      <c r="Q245" s="38"/>
      <c r="R245" s="35"/>
      <c r="S245" s="35"/>
      <c r="T245" s="35"/>
      <c r="U245" s="35"/>
      <c r="W245" s="29"/>
      <c r="X245" s="29"/>
      <c r="Y245" s="29"/>
      <c r="Z245" s="29"/>
      <c r="AA245" s="29"/>
      <c r="AB245" s="48"/>
    </row>
    <row r="246" spans="1:28" s="11" customFormat="1" x14ac:dyDescent="0.35">
      <c r="A246" s="15"/>
      <c r="B246" s="16"/>
      <c r="C246" s="17"/>
      <c r="D246" s="194"/>
      <c r="E246" s="194"/>
      <c r="F246" s="194"/>
      <c r="G246" s="193"/>
      <c r="H246" s="193"/>
      <c r="I246" s="35"/>
      <c r="J246" s="35"/>
      <c r="K246" s="35"/>
      <c r="L246" s="35"/>
      <c r="M246" s="35"/>
      <c r="N246" s="35"/>
      <c r="O246" s="35"/>
      <c r="P246" s="35"/>
      <c r="Q246" s="38"/>
      <c r="R246" s="35"/>
      <c r="S246" s="35"/>
      <c r="T246" s="35"/>
      <c r="U246" s="35"/>
      <c r="W246" s="29"/>
      <c r="X246" s="29"/>
      <c r="Y246" s="29"/>
      <c r="Z246" s="29"/>
      <c r="AA246" s="29"/>
      <c r="AB246" s="48"/>
    </row>
    <row r="247" spans="1:28" s="11" customFormat="1" x14ac:dyDescent="0.35">
      <c r="A247" s="15"/>
      <c r="B247" s="16"/>
      <c r="C247" s="17"/>
      <c r="D247" s="194"/>
      <c r="E247" s="194"/>
      <c r="F247" s="194"/>
      <c r="G247" s="193"/>
      <c r="H247" s="193"/>
      <c r="I247" s="35"/>
      <c r="J247" s="35"/>
      <c r="K247" s="35"/>
      <c r="L247" s="35"/>
      <c r="M247" s="35"/>
      <c r="N247" s="35"/>
      <c r="O247" s="35"/>
      <c r="P247" s="35"/>
      <c r="Q247" s="38"/>
      <c r="R247" s="35"/>
      <c r="S247" s="35"/>
      <c r="T247" s="35"/>
      <c r="U247" s="35"/>
      <c r="W247" s="29"/>
      <c r="X247" s="29"/>
      <c r="Y247" s="29"/>
      <c r="Z247" s="29"/>
      <c r="AA247" s="29"/>
      <c r="AB247" s="48"/>
    </row>
    <row r="248" spans="1:28" s="11" customFormat="1" x14ac:dyDescent="0.35">
      <c r="A248" s="15"/>
      <c r="B248" s="16"/>
      <c r="C248" s="17"/>
      <c r="D248" s="194"/>
      <c r="E248" s="194"/>
      <c r="F248" s="194"/>
      <c r="G248" s="193"/>
      <c r="H248" s="193"/>
      <c r="I248" s="35"/>
      <c r="J248" s="35"/>
      <c r="K248" s="35"/>
      <c r="L248" s="35"/>
      <c r="M248" s="35"/>
      <c r="N248" s="35"/>
      <c r="O248" s="35"/>
      <c r="P248" s="35"/>
      <c r="Q248" s="38"/>
      <c r="R248" s="35"/>
      <c r="S248" s="35"/>
      <c r="T248" s="35"/>
      <c r="U248" s="35"/>
      <c r="W248" s="29"/>
      <c r="X248" s="29"/>
      <c r="Y248" s="29"/>
      <c r="Z248" s="29"/>
      <c r="AA248" s="29"/>
      <c r="AB248" s="48"/>
    </row>
    <row r="249" spans="1:28" s="11" customFormat="1" x14ac:dyDescent="0.35">
      <c r="A249" s="15"/>
      <c r="B249" s="16"/>
      <c r="C249" s="17"/>
      <c r="D249" s="194"/>
      <c r="E249" s="194"/>
      <c r="F249" s="194"/>
      <c r="G249" s="193"/>
      <c r="H249" s="193"/>
      <c r="I249" s="35"/>
      <c r="J249" s="35"/>
      <c r="K249" s="35"/>
      <c r="L249" s="35"/>
      <c r="M249" s="35"/>
      <c r="N249" s="35"/>
      <c r="O249" s="35"/>
      <c r="P249" s="35"/>
      <c r="Q249" s="38"/>
      <c r="R249" s="35"/>
      <c r="S249" s="35"/>
      <c r="T249" s="35"/>
      <c r="U249" s="35"/>
      <c r="W249" s="29"/>
      <c r="X249" s="29"/>
      <c r="Y249" s="29"/>
      <c r="Z249" s="29"/>
      <c r="AA249" s="29"/>
      <c r="AB249" s="48"/>
    </row>
    <row r="250" spans="1:28" s="11" customFormat="1" x14ac:dyDescent="0.35">
      <c r="A250" s="15"/>
      <c r="B250" s="16"/>
      <c r="C250" s="17"/>
      <c r="D250" s="194"/>
      <c r="E250" s="194"/>
      <c r="F250" s="194"/>
      <c r="G250" s="193"/>
      <c r="H250" s="193"/>
      <c r="I250" s="35"/>
      <c r="J250" s="35"/>
      <c r="K250" s="35"/>
      <c r="L250" s="35"/>
      <c r="M250" s="35"/>
      <c r="N250" s="35"/>
      <c r="O250" s="35"/>
      <c r="P250" s="35"/>
      <c r="Q250" s="38"/>
      <c r="R250" s="35"/>
      <c r="S250" s="35"/>
      <c r="T250" s="35"/>
      <c r="U250" s="35"/>
      <c r="W250" s="29"/>
      <c r="X250" s="29"/>
      <c r="Y250" s="29"/>
      <c r="Z250" s="29"/>
      <c r="AA250" s="29"/>
      <c r="AB250" s="48"/>
    </row>
    <row r="251" spans="1:28" s="11" customFormat="1" x14ac:dyDescent="0.35">
      <c r="A251" s="15"/>
      <c r="B251" s="16"/>
      <c r="C251" s="17"/>
      <c r="D251" s="194"/>
      <c r="E251" s="194"/>
      <c r="F251" s="194"/>
      <c r="G251" s="193"/>
      <c r="H251" s="193"/>
      <c r="I251" s="35"/>
      <c r="J251" s="35"/>
      <c r="K251" s="35"/>
      <c r="L251" s="35"/>
      <c r="M251" s="35"/>
      <c r="N251" s="35"/>
      <c r="O251" s="35"/>
      <c r="P251" s="35"/>
      <c r="Q251" s="38"/>
      <c r="R251" s="35"/>
      <c r="S251" s="35"/>
      <c r="T251" s="35"/>
      <c r="U251" s="35"/>
      <c r="W251" s="29"/>
      <c r="X251" s="29"/>
      <c r="Y251" s="29"/>
      <c r="Z251" s="29"/>
      <c r="AA251" s="29"/>
      <c r="AB251" s="48"/>
    </row>
    <row r="252" spans="1:28" s="11" customFormat="1" x14ac:dyDescent="0.35">
      <c r="A252" s="15"/>
      <c r="B252" s="16"/>
      <c r="C252" s="17"/>
      <c r="D252" s="194"/>
      <c r="E252" s="194"/>
      <c r="F252" s="194"/>
      <c r="G252" s="193"/>
      <c r="H252" s="193"/>
      <c r="I252" s="35"/>
      <c r="J252" s="35"/>
      <c r="K252" s="35"/>
      <c r="L252" s="35"/>
      <c r="M252" s="35"/>
      <c r="N252" s="35"/>
      <c r="O252" s="35"/>
      <c r="P252" s="35"/>
      <c r="Q252" s="38"/>
      <c r="R252" s="35"/>
      <c r="S252" s="35"/>
      <c r="T252" s="35"/>
      <c r="U252" s="35"/>
      <c r="W252" s="29"/>
      <c r="X252" s="29"/>
      <c r="Y252" s="29"/>
      <c r="Z252" s="29"/>
      <c r="AA252" s="29"/>
      <c r="AB252" s="48"/>
    </row>
    <row r="253" spans="1:28" s="11" customFormat="1" x14ac:dyDescent="0.35">
      <c r="A253" s="15"/>
      <c r="B253" s="16"/>
      <c r="C253" s="17"/>
      <c r="D253" s="194"/>
      <c r="E253" s="194"/>
      <c r="F253" s="194"/>
      <c r="G253" s="193"/>
      <c r="H253" s="193"/>
      <c r="I253" s="35"/>
      <c r="J253" s="35"/>
      <c r="K253" s="35"/>
      <c r="L253" s="35"/>
      <c r="M253" s="35"/>
      <c r="N253" s="35"/>
      <c r="O253" s="35"/>
      <c r="P253" s="35"/>
      <c r="Q253" s="38"/>
      <c r="R253" s="35"/>
      <c r="S253" s="35"/>
      <c r="T253" s="35"/>
      <c r="U253" s="35"/>
      <c r="W253" s="29"/>
      <c r="X253" s="29"/>
      <c r="Y253" s="29"/>
      <c r="Z253" s="29"/>
      <c r="AA253" s="29"/>
      <c r="AB253" s="48"/>
    </row>
    <row r="254" spans="1:28" s="11" customFormat="1" x14ac:dyDescent="0.35">
      <c r="A254" s="15"/>
      <c r="B254" s="16"/>
      <c r="C254" s="17"/>
      <c r="D254" s="194"/>
      <c r="E254" s="194"/>
      <c r="F254" s="194"/>
      <c r="G254" s="193"/>
      <c r="H254" s="193"/>
      <c r="I254" s="35"/>
      <c r="J254" s="35"/>
      <c r="K254" s="35"/>
      <c r="L254" s="35"/>
      <c r="M254" s="35"/>
      <c r="N254" s="35"/>
      <c r="O254" s="35"/>
      <c r="P254" s="35"/>
      <c r="Q254" s="38"/>
      <c r="R254" s="35"/>
      <c r="S254" s="35"/>
      <c r="T254" s="35"/>
      <c r="U254" s="35"/>
      <c r="W254" s="29"/>
      <c r="X254" s="29"/>
      <c r="Y254" s="29"/>
      <c r="Z254" s="29"/>
      <c r="AA254" s="29"/>
      <c r="AB254" s="48"/>
    </row>
    <row r="255" spans="1:28" s="11" customFormat="1" x14ac:dyDescent="0.35">
      <c r="A255" s="15"/>
      <c r="B255" s="16"/>
      <c r="C255" s="17"/>
      <c r="D255" s="194"/>
      <c r="E255" s="194"/>
      <c r="F255" s="194"/>
      <c r="G255" s="193"/>
      <c r="H255" s="193"/>
      <c r="I255" s="35"/>
      <c r="J255" s="35"/>
      <c r="K255" s="35"/>
      <c r="L255" s="35"/>
      <c r="M255" s="35"/>
      <c r="N255" s="35"/>
      <c r="O255" s="35"/>
      <c r="P255" s="35"/>
      <c r="Q255" s="38"/>
      <c r="R255" s="35"/>
      <c r="S255" s="35"/>
      <c r="T255" s="35"/>
      <c r="U255" s="35"/>
      <c r="W255" s="29"/>
      <c r="X255" s="29"/>
      <c r="Y255" s="29"/>
      <c r="Z255" s="29"/>
      <c r="AA255" s="29"/>
      <c r="AB255" s="48"/>
    </row>
    <row r="256" spans="1:28" s="11" customFormat="1" x14ac:dyDescent="0.35">
      <c r="A256" s="15"/>
      <c r="B256" s="16"/>
      <c r="C256" s="17"/>
      <c r="D256" s="194"/>
      <c r="E256" s="194"/>
      <c r="F256" s="194"/>
      <c r="G256" s="193"/>
      <c r="H256" s="193"/>
      <c r="I256" s="35"/>
      <c r="J256" s="35"/>
      <c r="K256" s="35"/>
      <c r="L256" s="35"/>
      <c r="M256" s="35"/>
      <c r="N256" s="35"/>
      <c r="O256" s="35"/>
      <c r="P256" s="35"/>
      <c r="Q256" s="38"/>
      <c r="R256" s="35"/>
      <c r="S256" s="35"/>
      <c r="T256" s="35"/>
      <c r="U256" s="35"/>
      <c r="W256" s="29"/>
      <c r="X256" s="29"/>
      <c r="Y256" s="29"/>
      <c r="Z256" s="29"/>
      <c r="AA256" s="29"/>
      <c r="AB256" s="48"/>
    </row>
    <row r="257" spans="1:28" s="11" customFormat="1" x14ac:dyDescent="0.35">
      <c r="A257" s="15"/>
      <c r="B257" s="16"/>
      <c r="C257" s="17"/>
      <c r="D257" s="194"/>
      <c r="E257" s="194"/>
      <c r="F257" s="194"/>
      <c r="G257" s="193"/>
      <c r="H257" s="193"/>
      <c r="I257" s="35"/>
      <c r="J257" s="35"/>
      <c r="K257" s="35"/>
      <c r="L257" s="35"/>
      <c r="M257" s="35"/>
      <c r="N257" s="35"/>
      <c r="O257" s="35"/>
      <c r="P257" s="35"/>
      <c r="Q257" s="38"/>
      <c r="R257" s="35"/>
      <c r="S257" s="35"/>
      <c r="T257" s="35"/>
      <c r="U257" s="35"/>
      <c r="W257" s="29"/>
      <c r="X257" s="29"/>
      <c r="Y257" s="29"/>
      <c r="Z257" s="29"/>
      <c r="AA257" s="29"/>
      <c r="AB257" s="48"/>
    </row>
    <row r="258" spans="1:28" s="11" customFormat="1" x14ac:dyDescent="0.35">
      <c r="A258" s="15"/>
      <c r="B258" s="16"/>
      <c r="C258" s="17"/>
      <c r="D258" s="194"/>
      <c r="E258" s="194"/>
      <c r="F258" s="194"/>
      <c r="G258" s="193"/>
      <c r="H258" s="193"/>
      <c r="I258" s="35"/>
      <c r="J258" s="35"/>
      <c r="K258" s="35"/>
      <c r="L258" s="35"/>
      <c r="M258" s="35"/>
      <c r="N258" s="35"/>
      <c r="O258" s="35"/>
      <c r="P258" s="35"/>
      <c r="Q258" s="38"/>
      <c r="R258" s="35"/>
      <c r="S258" s="35"/>
      <c r="T258" s="35"/>
      <c r="U258" s="35"/>
      <c r="W258" s="29"/>
      <c r="X258" s="29"/>
      <c r="Y258" s="29"/>
      <c r="Z258" s="29"/>
      <c r="AA258" s="29"/>
      <c r="AB258" s="48"/>
    </row>
    <row r="259" spans="1:28" s="11" customFormat="1" x14ac:dyDescent="0.35">
      <c r="A259" s="15"/>
      <c r="B259" s="16"/>
      <c r="C259" s="17"/>
      <c r="D259" s="194"/>
      <c r="E259" s="194"/>
      <c r="F259" s="194"/>
      <c r="G259" s="193"/>
      <c r="H259" s="193"/>
      <c r="I259" s="35"/>
      <c r="J259" s="35"/>
      <c r="K259" s="35"/>
      <c r="L259" s="35"/>
      <c r="M259" s="35"/>
      <c r="N259" s="35"/>
      <c r="O259" s="35"/>
      <c r="P259" s="35"/>
      <c r="Q259" s="38"/>
      <c r="R259" s="35"/>
      <c r="S259" s="35"/>
      <c r="T259" s="35"/>
      <c r="U259" s="35"/>
      <c r="W259" s="29"/>
      <c r="X259" s="29"/>
      <c r="Y259" s="29"/>
      <c r="Z259" s="29"/>
      <c r="AA259" s="29"/>
      <c r="AB259" s="48"/>
    </row>
    <row r="260" spans="1:28" s="11" customFormat="1" x14ac:dyDescent="0.35">
      <c r="A260" s="15"/>
      <c r="B260" s="16"/>
      <c r="C260" s="17"/>
      <c r="D260" s="194"/>
      <c r="E260" s="194"/>
      <c r="F260" s="194"/>
      <c r="G260" s="193"/>
      <c r="H260" s="193"/>
      <c r="I260" s="35"/>
      <c r="J260" s="35"/>
      <c r="K260" s="35"/>
      <c r="L260" s="35"/>
      <c r="M260" s="35"/>
      <c r="N260" s="35"/>
      <c r="O260" s="35"/>
      <c r="P260" s="35"/>
      <c r="Q260" s="38"/>
      <c r="R260" s="35"/>
      <c r="S260" s="35"/>
      <c r="T260" s="35"/>
      <c r="U260" s="35"/>
      <c r="W260" s="29"/>
      <c r="X260" s="29"/>
      <c r="Y260" s="29"/>
      <c r="Z260" s="29"/>
      <c r="AA260" s="29"/>
      <c r="AB260" s="48"/>
    </row>
    <row r="261" spans="1:28" s="11" customFormat="1" x14ac:dyDescent="0.35">
      <c r="A261" s="15"/>
      <c r="B261" s="16"/>
      <c r="C261" s="17"/>
      <c r="D261" s="194"/>
      <c r="E261" s="194"/>
      <c r="F261" s="194"/>
      <c r="G261" s="193"/>
      <c r="H261" s="193"/>
      <c r="I261" s="35"/>
      <c r="J261" s="35"/>
      <c r="K261" s="35"/>
      <c r="L261" s="35"/>
      <c r="M261" s="35"/>
      <c r="N261" s="35"/>
      <c r="O261" s="35"/>
      <c r="P261" s="35"/>
      <c r="Q261" s="38"/>
      <c r="R261" s="35"/>
      <c r="S261" s="35"/>
      <c r="T261" s="35"/>
      <c r="U261" s="35"/>
      <c r="W261" s="29"/>
      <c r="X261" s="29"/>
      <c r="Y261" s="29"/>
      <c r="Z261" s="29"/>
      <c r="AA261" s="29"/>
      <c r="AB261" s="48"/>
    </row>
    <row r="262" spans="1:28" s="11" customFormat="1" x14ac:dyDescent="0.35">
      <c r="A262" s="15"/>
      <c r="B262" s="16"/>
      <c r="C262" s="17"/>
      <c r="D262" s="194"/>
      <c r="E262" s="194"/>
      <c r="F262" s="194"/>
      <c r="G262" s="193"/>
      <c r="H262" s="193"/>
      <c r="I262" s="35"/>
      <c r="J262" s="35"/>
      <c r="K262" s="35"/>
      <c r="L262" s="35"/>
      <c r="M262" s="35"/>
      <c r="N262" s="35"/>
      <c r="O262" s="35"/>
      <c r="P262" s="35"/>
      <c r="Q262" s="38"/>
      <c r="R262" s="35"/>
      <c r="S262" s="35"/>
      <c r="T262" s="35"/>
      <c r="U262" s="35"/>
      <c r="W262" s="29"/>
      <c r="X262" s="29"/>
      <c r="Y262" s="29"/>
      <c r="Z262" s="29"/>
      <c r="AA262" s="29"/>
      <c r="AB262" s="48"/>
    </row>
    <row r="263" spans="1:28" s="11" customFormat="1" x14ac:dyDescent="0.35">
      <c r="A263" s="15"/>
      <c r="B263" s="16"/>
      <c r="C263" s="17"/>
      <c r="D263" s="194"/>
      <c r="E263" s="194"/>
      <c r="F263" s="194"/>
      <c r="G263" s="193"/>
      <c r="H263" s="193"/>
      <c r="I263" s="35"/>
      <c r="J263" s="35"/>
      <c r="K263" s="35"/>
      <c r="L263" s="35"/>
      <c r="M263" s="35"/>
      <c r="N263" s="35"/>
      <c r="O263" s="35"/>
      <c r="P263" s="35"/>
      <c r="Q263" s="38"/>
      <c r="R263" s="35"/>
      <c r="S263" s="35"/>
      <c r="T263" s="35"/>
      <c r="U263" s="35"/>
      <c r="W263" s="29"/>
      <c r="X263" s="29"/>
      <c r="Y263" s="29"/>
      <c r="Z263" s="29"/>
      <c r="AA263" s="29"/>
      <c r="AB263" s="48"/>
    </row>
    <row r="264" spans="1:28" s="11" customFormat="1" x14ac:dyDescent="0.35">
      <c r="A264" s="15"/>
      <c r="B264" s="16"/>
      <c r="C264" s="17"/>
      <c r="D264" s="194"/>
      <c r="E264" s="194"/>
      <c r="F264" s="194"/>
      <c r="G264" s="193"/>
      <c r="H264" s="193"/>
      <c r="I264" s="35"/>
      <c r="J264" s="35"/>
      <c r="K264" s="35"/>
      <c r="L264" s="35"/>
      <c r="M264" s="35"/>
      <c r="N264" s="35"/>
      <c r="O264" s="35"/>
      <c r="P264" s="35"/>
      <c r="Q264" s="38"/>
      <c r="R264" s="35"/>
      <c r="S264" s="35"/>
      <c r="T264" s="35"/>
      <c r="U264" s="35"/>
      <c r="W264" s="29"/>
      <c r="X264" s="29"/>
      <c r="Y264" s="29"/>
      <c r="Z264" s="29"/>
      <c r="AA264" s="29"/>
      <c r="AB264" s="48"/>
    </row>
    <row r="265" spans="1:28" s="11" customFormat="1" x14ac:dyDescent="0.35">
      <c r="A265" s="15"/>
      <c r="B265" s="16"/>
      <c r="C265" s="17"/>
      <c r="D265" s="194"/>
      <c r="E265" s="194"/>
      <c r="F265" s="194"/>
      <c r="G265" s="193"/>
      <c r="H265" s="193"/>
      <c r="I265" s="35"/>
      <c r="J265" s="35"/>
      <c r="K265" s="35"/>
      <c r="L265" s="35"/>
      <c r="M265" s="35"/>
      <c r="N265" s="35"/>
      <c r="O265" s="35"/>
      <c r="P265" s="35"/>
      <c r="Q265" s="38"/>
      <c r="R265" s="35"/>
      <c r="S265" s="35"/>
      <c r="T265" s="35"/>
      <c r="U265" s="35"/>
      <c r="W265" s="29"/>
      <c r="X265" s="29"/>
      <c r="Y265" s="29"/>
      <c r="Z265" s="29"/>
      <c r="AA265" s="29"/>
      <c r="AB265" s="48"/>
    </row>
    <row r="266" spans="1:28" s="11" customFormat="1" x14ac:dyDescent="0.35">
      <c r="A266" s="15"/>
      <c r="B266" s="16"/>
      <c r="C266" s="17"/>
      <c r="D266" s="194"/>
      <c r="E266" s="194"/>
      <c r="F266" s="194"/>
      <c r="G266" s="193"/>
      <c r="H266" s="193"/>
      <c r="I266" s="35"/>
      <c r="J266" s="35"/>
      <c r="K266" s="35"/>
      <c r="L266" s="35"/>
      <c r="M266" s="35"/>
      <c r="N266" s="35"/>
      <c r="O266" s="35"/>
      <c r="P266" s="35"/>
      <c r="Q266" s="38"/>
      <c r="R266" s="35"/>
      <c r="S266" s="35"/>
      <c r="T266" s="35"/>
      <c r="U266" s="35"/>
      <c r="W266" s="29"/>
      <c r="X266" s="29"/>
      <c r="Y266" s="29"/>
      <c r="Z266" s="29"/>
      <c r="AA266" s="29"/>
      <c r="AB266" s="48"/>
    </row>
    <row r="267" spans="1:28" s="11" customFormat="1" x14ac:dyDescent="0.35">
      <c r="A267" s="15"/>
      <c r="B267" s="16"/>
      <c r="C267" s="17"/>
      <c r="D267" s="194"/>
      <c r="E267" s="194"/>
      <c r="F267" s="194"/>
      <c r="G267" s="193"/>
      <c r="H267" s="193"/>
      <c r="I267" s="35"/>
      <c r="J267" s="35"/>
      <c r="K267" s="35"/>
      <c r="L267" s="35"/>
      <c r="M267" s="35"/>
      <c r="N267" s="35"/>
      <c r="O267" s="35"/>
      <c r="P267" s="35"/>
      <c r="Q267" s="38"/>
      <c r="R267" s="35"/>
      <c r="S267" s="35"/>
      <c r="T267" s="35"/>
      <c r="U267" s="35"/>
      <c r="W267" s="29"/>
      <c r="X267" s="29"/>
      <c r="Y267" s="29"/>
      <c r="Z267" s="29"/>
      <c r="AA267" s="29"/>
      <c r="AB267" s="48"/>
    </row>
    <row r="268" spans="1:28" s="11" customFormat="1" x14ac:dyDescent="0.35">
      <c r="A268" s="15"/>
      <c r="B268" s="16"/>
      <c r="C268" s="17"/>
      <c r="D268" s="194"/>
      <c r="E268" s="194"/>
      <c r="F268" s="194"/>
      <c r="G268" s="193"/>
      <c r="H268" s="193"/>
      <c r="I268" s="35"/>
      <c r="J268" s="35"/>
      <c r="K268" s="35"/>
      <c r="L268" s="35"/>
      <c r="M268" s="35"/>
      <c r="N268" s="35"/>
      <c r="O268" s="35"/>
      <c r="P268" s="35"/>
      <c r="Q268" s="38"/>
      <c r="R268" s="35"/>
      <c r="S268" s="35"/>
      <c r="T268" s="35"/>
      <c r="U268" s="35"/>
      <c r="W268" s="29"/>
      <c r="X268" s="29"/>
      <c r="Y268" s="29"/>
      <c r="Z268" s="29"/>
      <c r="AA268" s="29"/>
      <c r="AB268" s="48"/>
    </row>
    <row r="269" spans="1:28" s="11" customFormat="1" x14ac:dyDescent="0.35">
      <c r="A269" s="15"/>
      <c r="B269" s="16"/>
      <c r="C269" s="17"/>
      <c r="D269" s="194"/>
      <c r="E269" s="194"/>
      <c r="F269" s="194"/>
      <c r="G269" s="193"/>
      <c r="H269" s="193"/>
      <c r="I269" s="35"/>
      <c r="J269" s="35"/>
      <c r="K269" s="35"/>
      <c r="L269" s="35"/>
      <c r="M269" s="35"/>
      <c r="N269" s="35"/>
      <c r="O269" s="35"/>
      <c r="P269" s="35"/>
      <c r="Q269" s="38"/>
      <c r="R269" s="35"/>
      <c r="S269" s="35"/>
      <c r="T269" s="35"/>
      <c r="U269" s="35"/>
      <c r="W269" s="29"/>
      <c r="X269" s="29"/>
      <c r="Y269" s="29"/>
      <c r="Z269" s="29"/>
      <c r="AA269" s="29"/>
      <c r="AB269" s="48"/>
    </row>
    <row r="270" spans="1:28" s="11" customFormat="1" x14ac:dyDescent="0.35">
      <c r="A270" s="15"/>
      <c r="B270" s="16"/>
      <c r="C270" s="17"/>
      <c r="D270" s="194"/>
      <c r="E270" s="194"/>
      <c r="F270" s="194"/>
      <c r="G270" s="193"/>
      <c r="H270" s="193"/>
      <c r="I270" s="35"/>
      <c r="J270" s="35"/>
      <c r="K270" s="35"/>
      <c r="L270" s="35"/>
      <c r="M270" s="35"/>
      <c r="N270" s="35"/>
      <c r="O270" s="35"/>
      <c r="P270" s="35"/>
      <c r="Q270" s="38"/>
      <c r="R270" s="35"/>
      <c r="S270" s="35"/>
      <c r="T270" s="35"/>
      <c r="U270" s="35"/>
      <c r="W270" s="29"/>
      <c r="X270" s="29"/>
      <c r="Y270" s="29"/>
      <c r="Z270" s="29"/>
      <c r="AA270" s="29"/>
      <c r="AB270" s="48"/>
    </row>
    <row r="271" spans="1:28" s="11" customFormat="1" x14ac:dyDescent="0.35">
      <c r="A271" s="15"/>
      <c r="B271" s="16"/>
      <c r="C271" s="17"/>
      <c r="D271" s="194"/>
      <c r="E271" s="194"/>
      <c r="F271" s="194"/>
      <c r="G271" s="193"/>
      <c r="H271" s="193"/>
      <c r="I271" s="35"/>
      <c r="J271" s="35"/>
      <c r="K271" s="35"/>
      <c r="L271" s="35"/>
      <c r="M271" s="35"/>
      <c r="N271" s="35"/>
      <c r="O271" s="35"/>
      <c r="P271" s="35"/>
      <c r="Q271" s="38"/>
      <c r="R271" s="35"/>
      <c r="S271" s="35"/>
      <c r="T271" s="35"/>
      <c r="U271" s="35"/>
      <c r="W271" s="29"/>
      <c r="X271" s="29"/>
      <c r="Y271" s="29"/>
      <c r="Z271" s="29"/>
      <c r="AA271" s="29"/>
      <c r="AB271" s="48"/>
    </row>
    <row r="272" spans="1:28" s="11" customFormat="1" x14ac:dyDescent="0.35">
      <c r="A272" s="15"/>
      <c r="B272" s="16"/>
      <c r="C272" s="17"/>
      <c r="D272" s="194"/>
      <c r="E272" s="194"/>
      <c r="F272" s="194"/>
      <c r="G272" s="193"/>
      <c r="H272" s="193"/>
      <c r="I272" s="35"/>
      <c r="J272" s="35"/>
      <c r="K272" s="35"/>
      <c r="L272" s="35"/>
      <c r="M272" s="35"/>
      <c r="N272" s="35"/>
      <c r="O272" s="35"/>
      <c r="P272" s="35"/>
      <c r="Q272" s="38"/>
      <c r="R272" s="35"/>
      <c r="S272" s="35"/>
      <c r="T272" s="35"/>
      <c r="U272" s="35"/>
      <c r="W272" s="29"/>
      <c r="X272" s="29"/>
      <c r="Y272" s="29"/>
      <c r="Z272" s="29"/>
      <c r="AA272" s="29"/>
      <c r="AB272" s="48"/>
    </row>
    <row r="273" spans="1:28" s="11" customFormat="1" x14ac:dyDescent="0.35">
      <c r="A273" s="15"/>
      <c r="B273" s="16"/>
      <c r="C273" s="17"/>
      <c r="D273" s="194"/>
      <c r="E273" s="194"/>
      <c r="F273" s="194"/>
      <c r="G273" s="193"/>
      <c r="H273" s="193"/>
      <c r="I273" s="35"/>
      <c r="J273" s="35"/>
      <c r="K273" s="35"/>
      <c r="L273" s="35"/>
      <c r="M273" s="35"/>
      <c r="N273" s="35"/>
      <c r="O273" s="35"/>
      <c r="P273" s="35"/>
      <c r="Q273" s="38"/>
      <c r="R273" s="35"/>
      <c r="S273" s="35"/>
      <c r="T273" s="35"/>
      <c r="U273" s="35"/>
      <c r="W273" s="29"/>
      <c r="X273" s="29"/>
      <c r="Y273" s="29"/>
      <c r="Z273" s="29"/>
      <c r="AA273" s="29"/>
      <c r="AB273" s="48"/>
    </row>
  </sheetData>
  <mergeCells count="5">
    <mergeCell ref="AA1:AC1"/>
    <mergeCell ref="I1:L1"/>
    <mergeCell ref="M1:P1"/>
    <mergeCell ref="W1:Z1"/>
    <mergeCell ref="R1:V1"/>
  </mergeCells>
  <phoneticPr fontId="17" type="noConversion"/>
  <hyperlinks>
    <hyperlink ref="Y2" r:id="rId1" display="https://www.cms.gov/Medicare/Quality-Initiatives-Patient-Assessment-Instruments/Value-Based-Programs/HRRP/Hospital-Readmission-Reduction-Program" xr:uid="{514FB286-C954-4971-8128-F57B08C79861}"/>
    <hyperlink ref="AA2" r:id="rId2" display="HAC REDUCTION" xr:uid="{340DDB77-2F02-427C-89C6-76E9B92D6124}"/>
  </hyperlinks>
  <pageMargins left="0.7" right="0.7" top="0.75" bottom="0.75" header="0.3" footer="0.3"/>
  <pageSetup orientation="portrait" horizontalDpi="1200" verticalDpi="1200"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320921-6E85-46EE-9310-72A6AD7A57C6}">
  <sheetPr>
    <tabColor rgb="FF00B050"/>
  </sheetPr>
  <dimension ref="A1:EY114"/>
  <sheetViews>
    <sheetView zoomScaleNormal="100" workbookViewId="0">
      <pane xSplit="2" ySplit="5" topLeftCell="C6" activePane="bottomRight" state="frozen"/>
      <selection pane="topRight" activeCell="C1" sqref="C1"/>
      <selection pane="bottomLeft" activeCell="A7" sqref="A7"/>
      <selection pane="bottomRight" activeCell="AB1" sqref="AB1:AB1048576"/>
    </sheetView>
  </sheetViews>
  <sheetFormatPr defaultColWidth="9.1796875" defaultRowHeight="15" customHeight="1" x14ac:dyDescent="0.3"/>
  <cols>
    <col min="1" max="1" width="15.1796875" style="1" customWidth="1"/>
    <col min="2" max="2" width="12.1796875" style="285" hidden="1" customWidth="1"/>
    <col min="3" max="7" width="12.54296875" style="4" customWidth="1"/>
    <col min="8" max="8" width="16" style="4" customWidth="1"/>
    <col min="9" max="9" width="19.1796875" style="4" customWidth="1"/>
    <col min="10" max="10" width="19.1796875" style="5" customWidth="1"/>
    <col min="11" max="12" width="17.54296875" style="5" customWidth="1"/>
    <col min="13" max="13" width="16.453125" style="5" customWidth="1"/>
    <col min="14" max="14" width="14.90625" style="5" customWidth="1"/>
    <col min="15" max="15" width="16.453125" style="5" customWidth="1"/>
    <col min="16" max="16" width="12.54296875" style="5" customWidth="1"/>
    <col min="17" max="17" width="3.453125" style="2" customWidth="1"/>
    <col min="18" max="18" width="22.1796875" style="69" customWidth="1"/>
    <col min="19" max="19" width="25.54296875" style="69" customWidth="1"/>
    <col min="20" max="20" width="23" style="69" customWidth="1"/>
    <col min="21" max="21" width="26.54296875" style="68" customWidth="1"/>
    <col min="22" max="22" width="15.453125" style="68" customWidth="1"/>
    <col min="23" max="23" width="23.54296875" style="68" customWidth="1"/>
    <col min="24" max="24" width="1" style="58" customWidth="1"/>
    <col min="25" max="25" width="13.54296875" style="69" customWidth="1"/>
    <col min="26" max="26" width="9.453125" style="57" customWidth="1"/>
    <col min="27" max="27" width="10.453125" style="57" customWidth="1"/>
    <col min="28" max="28" width="2.36328125" style="265" customWidth="1"/>
    <col min="29" max="29" width="2.54296875" style="58" customWidth="1"/>
    <col min="30" max="30" width="12.453125" style="58" customWidth="1"/>
    <col min="31" max="31" width="21.453125" style="58" customWidth="1"/>
    <col min="32" max="33" width="5.54296875" style="58" customWidth="1"/>
    <col min="34" max="34" width="12.1796875" style="58" customWidth="1"/>
    <col min="35" max="35" width="20.1796875" style="58" customWidth="1"/>
    <col min="36" max="37" width="20.54296875" style="58" customWidth="1"/>
    <col min="38" max="38" width="9.453125" style="58" customWidth="1"/>
    <col min="39" max="39" width="3.81640625" style="58" customWidth="1"/>
    <col min="40" max="40" width="20.453125" style="58" customWidth="1"/>
    <col min="41" max="41" width="17.54296875" style="58" customWidth="1"/>
    <col min="42" max="42" width="4.54296875" style="58" customWidth="1"/>
    <col min="43" max="43" width="4.453125" style="58" customWidth="1"/>
    <col min="44" max="44" width="11.453125" style="58" customWidth="1"/>
    <col min="45" max="46" width="14.54296875" style="58" customWidth="1"/>
    <col min="47" max="47" width="14.453125" style="58" customWidth="1"/>
    <col min="48" max="48" width="6.1796875" style="58" customWidth="1"/>
    <col min="49" max="49" width="12.453125" style="58" customWidth="1"/>
    <col min="50" max="50" width="6.36328125" style="58" customWidth="1"/>
    <col min="51" max="52" width="16.54296875" style="58" customWidth="1"/>
    <col min="53" max="54" width="5.453125" style="58" customWidth="1"/>
    <col min="55" max="55" width="12.453125" style="58" customWidth="1"/>
    <col min="56" max="56" width="17.453125" style="58" customWidth="1"/>
    <col min="57" max="58" width="17.1796875" style="58" customWidth="1"/>
    <col min="59" max="59" width="8.1796875" style="58" customWidth="1"/>
    <col min="60" max="60" width="12.453125" style="58" customWidth="1"/>
    <col min="61" max="61" width="5.54296875" style="58" customWidth="1"/>
    <col min="62" max="62" width="17.453125" style="58" customWidth="1"/>
    <col min="63" max="63" width="16.54296875" style="58" customWidth="1"/>
    <col min="64" max="65" width="6.1796875" style="58" customWidth="1"/>
    <col min="66" max="66" width="13.453125" style="58" customWidth="1"/>
    <col min="67" max="67" width="15.54296875" style="58" customWidth="1"/>
    <col min="68" max="69" width="18.81640625" style="58" customWidth="1"/>
    <col min="70" max="70" width="8" style="58" customWidth="1"/>
    <col min="71" max="71" width="12.54296875" style="58" customWidth="1"/>
    <col min="72" max="72" width="9.1796875" style="58" customWidth="1"/>
    <col min="73" max="73" width="14.453125" style="58" customWidth="1"/>
    <col min="74" max="74" width="19.453125" style="58" customWidth="1"/>
    <col min="75" max="76" width="5.54296875" style="58" customWidth="1"/>
    <col min="77" max="77" width="10" style="58" customWidth="1"/>
    <col min="78" max="78" width="16.453125" style="58" customWidth="1"/>
    <col min="79" max="79" width="18.453125" style="58" customWidth="1"/>
    <col min="80" max="80" width="16.1796875" style="58" customWidth="1"/>
    <col min="81" max="81" width="8.54296875" style="58" customWidth="1"/>
    <col min="82" max="82" width="12.81640625" style="58" customWidth="1"/>
    <col min="83" max="83" width="5.453125" style="68" customWidth="1"/>
    <col min="84" max="84" width="12.453125" style="58" customWidth="1"/>
    <col min="85" max="85" width="16.453125" style="68" customWidth="1"/>
    <col min="86" max="86" width="6" style="68" customWidth="1"/>
    <col min="87" max="87" width="6.54296875" style="68" customWidth="1"/>
    <col min="88" max="88" width="19.453125" style="68" customWidth="1"/>
    <col min="89" max="89" width="16.453125" style="68" customWidth="1"/>
    <col min="90" max="90" width="12.54296875" style="68" customWidth="1"/>
    <col min="91" max="91" width="4.08984375" style="263" customWidth="1"/>
    <col min="92" max="92" width="19.6328125" style="153" customWidth="1"/>
    <col min="93" max="93" width="3.453125" style="153" customWidth="1"/>
    <col min="94" max="96" width="12.08984375" style="153" customWidth="1"/>
    <col min="97" max="97" width="13.54296875" style="153" customWidth="1"/>
    <col min="98" max="98" width="13" style="298" customWidth="1"/>
    <col min="99" max="99" width="9.453125" style="68" bestFit="1" customWidth="1"/>
    <col min="100" max="100" width="9.54296875" style="68" bestFit="1" customWidth="1"/>
    <col min="101" max="155" width="9.1796875" style="153"/>
    <col min="156" max="16384" width="9.1796875" style="2"/>
  </cols>
  <sheetData>
    <row r="1" spans="1:155" s="6" customFormat="1" ht="16.399999999999999" customHeight="1" thickBot="1" x14ac:dyDescent="0.35">
      <c r="A1" s="6" t="s">
        <v>127</v>
      </c>
      <c r="B1" s="286"/>
      <c r="C1" s="54"/>
      <c r="D1" s="7"/>
      <c r="E1" s="7"/>
      <c r="F1" s="7"/>
      <c r="G1" s="7"/>
      <c r="H1" s="7"/>
      <c r="I1" s="329" t="s">
        <v>128</v>
      </c>
      <c r="J1" s="9">
        <v>0.25</v>
      </c>
      <c r="K1" s="131">
        <v>0.2</v>
      </c>
      <c r="L1" s="131">
        <v>0.1</v>
      </c>
      <c r="M1" s="131">
        <v>0.25</v>
      </c>
      <c r="N1" s="131">
        <v>0.1</v>
      </c>
      <c r="O1" s="131">
        <v>0.2</v>
      </c>
      <c r="P1" s="9"/>
      <c r="U1" s="226" t="s">
        <v>266</v>
      </c>
      <c r="W1" s="320" t="s">
        <v>137</v>
      </c>
      <c r="X1" s="62"/>
      <c r="Y1" s="319"/>
      <c r="Z1" s="56"/>
      <c r="AA1" s="56"/>
      <c r="AB1" s="258"/>
      <c r="AC1" s="62"/>
      <c r="AD1" s="63" t="s">
        <v>130</v>
      </c>
      <c r="AE1" s="64"/>
      <c r="AF1" s="64"/>
      <c r="AG1" s="64"/>
      <c r="AH1" s="64"/>
      <c r="AI1" s="64"/>
      <c r="AJ1" s="64"/>
      <c r="AK1" s="64"/>
      <c r="AL1" s="64"/>
      <c r="AM1" s="64"/>
      <c r="AN1" s="63" t="s">
        <v>130</v>
      </c>
      <c r="AO1" s="64"/>
      <c r="AP1" s="64"/>
      <c r="AQ1" s="64"/>
      <c r="AR1" s="64"/>
      <c r="AS1" s="64"/>
      <c r="AT1" s="64"/>
      <c r="AU1" s="64"/>
      <c r="AV1" s="64"/>
      <c r="AW1" s="64"/>
      <c r="AX1" s="64"/>
      <c r="AY1" s="63" t="s">
        <v>130</v>
      </c>
      <c r="AZ1" s="64"/>
      <c r="BA1" s="64"/>
      <c r="BB1" s="64"/>
      <c r="BC1" s="64"/>
      <c r="BD1" s="64"/>
      <c r="BE1" s="64"/>
      <c r="BF1" s="64"/>
      <c r="BG1" s="64"/>
      <c r="BH1" s="64"/>
      <c r="BI1" s="64"/>
      <c r="BJ1" s="63" t="s">
        <v>130</v>
      </c>
      <c r="BK1" s="64"/>
      <c r="BL1" s="64"/>
      <c r="BM1" s="64"/>
      <c r="BN1" s="64"/>
      <c r="BO1" s="64"/>
      <c r="BP1" s="64"/>
      <c r="BQ1" s="64"/>
      <c r="BR1" s="64"/>
      <c r="BS1" s="64"/>
      <c r="BT1" s="64"/>
      <c r="BU1" s="63" t="s">
        <v>130</v>
      </c>
      <c r="BV1" s="64"/>
      <c r="BW1" s="64"/>
      <c r="BX1" s="64"/>
      <c r="BY1" s="64"/>
      <c r="BZ1" s="64"/>
      <c r="CA1" s="64"/>
      <c r="CB1" s="64"/>
      <c r="CC1" s="64"/>
      <c r="CD1" s="64"/>
      <c r="CE1" s="64"/>
      <c r="CF1" s="64"/>
      <c r="CG1" s="64"/>
      <c r="CH1" s="64"/>
      <c r="CI1" s="64"/>
      <c r="CJ1" s="64"/>
      <c r="CK1" s="64"/>
      <c r="CL1" s="64"/>
      <c r="CM1" s="258"/>
      <c r="CN1" s="56"/>
      <c r="CO1" s="56"/>
      <c r="CP1" s="328" t="s">
        <v>281</v>
      </c>
      <c r="CQ1" s="328"/>
      <c r="CR1" s="328"/>
      <c r="CS1" s="328"/>
      <c r="CT1" s="328"/>
      <c r="CU1" s="301"/>
      <c r="CV1" s="301"/>
      <c r="CW1" s="56"/>
      <c r="CX1" s="56"/>
      <c r="CY1" s="56"/>
      <c r="CZ1" s="56"/>
      <c r="DA1" s="56"/>
      <c r="DB1" s="56"/>
      <c r="DC1" s="56"/>
      <c r="DD1" s="56"/>
      <c r="DE1" s="56"/>
      <c r="DF1" s="56"/>
      <c r="DG1" s="56"/>
      <c r="DH1" s="56"/>
      <c r="DI1" s="56"/>
      <c r="DJ1" s="56"/>
      <c r="DK1" s="56"/>
      <c r="DL1" s="56"/>
      <c r="DM1" s="56"/>
      <c r="DN1" s="56"/>
      <c r="DO1" s="56"/>
      <c r="DP1" s="56"/>
      <c r="DQ1" s="56"/>
      <c r="DR1" s="56"/>
      <c r="DS1" s="56"/>
      <c r="DT1" s="56"/>
      <c r="DU1" s="56"/>
      <c r="DV1" s="56"/>
      <c r="DW1" s="56"/>
      <c r="DX1" s="56"/>
      <c r="DY1" s="56"/>
      <c r="DZ1" s="56"/>
      <c r="EA1" s="56"/>
      <c r="EB1" s="56"/>
      <c r="EC1" s="56"/>
      <c r="ED1" s="56"/>
      <c r="EE1" s="56"/>
      <c r="EF1" s="56"/>
      <c r="EG1" s="56"/>
      <c r="EH1" s="56"/>
      <c r="EI1" s="56"/>
      <c r="EJ1" s="56"/>
      <c r="EK1" s="56"/>
      <c r="EL1" s="56"/>
      <c r="EM1" s="56"/>
      <c r="EN1" s="56"/>
      <c r="EO1" s="56"/>
      <c r="EP1" s="56"/>
      <c r="EQ1" s="56"/>
      <c r="ER1" s="56"/>
      <c r="ES1" s="56"/>
      <c r="ET1" s="56"/>
      <c r="EU1" s="56"/>
      <c r="EV1" s="56"/>
      <c r="EW1" s="56"/>
      <c r="EX1" s="56"/>
      <c r="EY1" s="56"/>
    </row>
    <row r="2" spans="1:155" s="6" customFormat="1" ht="15" customHeight="1" thickBot="1" x14ac:dyDescent="0.35">
      <c r="A2" s="6" t="s">
        <v>131</v>
      </c>
      <c r="B2" s="286"/>
      <c r="C2" s="7"/>
      <c r="D2" s="7"/>
      <c r="E2" s="7"/>
      <c r="F2" s="7"/>
      <c r="G2" s="7"/>
      <c r="H2" s="7"/>
      <c r="I2" s="329"/>
      <c r="J2" s="8" t="s">
        <v>132</v>
      </c>
      <c r="K2" s="8" t="s">
        <v>132</v>
      </c>
      <c r="L2" s="8">
        <v>2500</v>
      </c>
      <c r="M2" s="8" t="s">
        <v>132</v>
      </c>
      <c r="N2" s="158">
        <v>0.5</v>
      </c>
      <c r="O2" s="132">
        <v>0.08</v>
      </c>
      <c r="P2" s="8"/>
      <c r="R2" s="306" t="s">
        <v>133</v>
      </c>
      <c r="S2" s="308">
        <v>1.0249999999999999</v>
      </c>
      <c r="T2" s="316" t="s">
        <v>129</v>
      </c>
      <c r="U2" s="279" t="s">
        <v>144</v>
      </c>
      <c r="V2" s="65"/>
      <c r="W2" s="321"/>
      <c r="X2" s="62"/>
      <c r="Y2" s="319"/>
      <c r="Z2" s="56"/>
      <c r="AA2" s="56"/>
      <c r="AB2" s="258"/>
      <c r="AC2" s="62"/>
      <c r="AD2" s="62"/>
      <c r="AE2" s="62"/>
      <c r="AF2" s="62"/>
      <c r="AG2" s="62"/>
      <c r="AH2" s="62"/>
      <c r="AI2" s="62"/>
      <c r="AJ2" s="62"/>
      <c r="AK2" s="62"/>
      <c r="AL2" s="62"/>
      <c r="AM2" s="62"/>
      <c r="AN2" s="62"/>
      <c r="AO2" s="62"/>
      <c r="AP2" s="62"/>
      <c r="AQ2" s="62"/>
      <c r="AR2" s="62"/>
      <c r="AS2" s="62"/>
      <c r="AT2" s="62"/>
      <c r="AU2" s="62"/>
      <c r="AV2" s="62"/>
      <c r="AW2" s="62"/>
      <c r="AX2" s="62"/>
      <c r="AY2" s="62"/>
      <c r="AZ2" s="62"/>
      <c r="BA2" s="62"/>
      <c r="BB2" s="62"/>
      <c r="BC2" s="62"/>
      <c r="BD2" s="62"/>
      <c r="BE2" s="62"/>
      <c r="BF2" s="62"/>
      <c r="BG2" s="62"/>
      <c r="BH2" s="62"/>
      <c r="BI2" s="62"/>
      <c r="BJ2" s="62"/>
      <c r="BK2" s="62"/>
      <c r="BL2" s="62"/>
      <c r="BM2" s="62"/>
      <c r="BN2" s="62"/>
      <c r="BO2" s="62"/>
      <c r="BP2" s="62"/>
      <c r="BQ2" s="62"/>
      <c r="BR2" s="62"/>
      <c r="BS2" s="62"/>
      <c r="BT2" s="62"/>
      <c r="BU2" s="62"/>
      <c r="BV2" s="62"/>
      <c r="BW2" s="62"/>
      <c r="BX2" s="62"/>
      <c r="BY2" s="62"/>
      <c r="BZ2" s="62"/>
      <c r="CA2" s="62"/>
      <c r="CB2" s="62"/>
      <c r="CC2" s="62"/>
      <c r="CD2" s="62"/>
      <c r="CE2" s="67"/>
      <c r="CF2" s="62"/>
      <c r="CG2" s="67"/>
      <c r="CH2" s="67"/>
      <c r="CI2" s="67"/>
      <c r="CJ2" s="67"/>
      <c r="CK2" s="67"/>
      <c r="CL2" s="67"/>
      <c r="CM2" s="258"/>
      <c r="CN2" s="56"/>
      <c r="CO2" s="56"/>
      <c r="CP2" s="328"/>
      <c r="CQ2" s="328"/>
      <c r="CR2" s="328"/>
      <c r="CS2" s="328"/>
      <c r="CT2" s="328"/>
      <c r="CU2" s="301"/>
      <c r="CV2" s="301"/>
      <c r="CW2" s="56"/>
      <c r="CX2" s="56"/>
      <c r="CY2" s="56"/>
      <c r="CZ2" s="56"/>
      <c r="DA2" s="56"/>
      <c r="DB2" s="56"/>
      <c r="DC2" s="56"/>
      <c r="DD2" s="56"/>
      <c r="DE2" s="56"/>
      <c r="DF2" s="56"/>
      <c r="DG2" s="56"/>
      <c r="DH2" s="56"/>
      <c r="DI2" s="56"/>
      <c r="DJ2" s="56"/>
      <c r="DK2" s="56"/>
      <c r="DL2" s="56"/>
      <c r="DM2" s="56"/>
      <c r="DN2" s="56"/>
      <c r="DO2" s="56"/>
      <c r="DP2" s="56"/>
      <c r="DQ2" s="56"/>
      <c r="DR2" s="56"/>
      <c r="DS2" s="56"/>
      <c r="DT2" s="56"/>
      <c r="DU2" s="56"/>
      <c r="DV2" s="56"/>
      <c r="DW2" s="56"/>
      <c r="DX2" s="56"/>
      <c r="DY2" s="56"/>
      <c r="DZ2" s="56"/>
      <c r="EA2" s="56"/>
      <c r="EB2" s="56"/>
      <c r="EC2" s="56"/>
      <c r="ED2" s="56"/>
      <c r="EE2" s="56"/>
      <c r="EF2" s="56"/>
      <c r="EG2" s="56"/>
      <c r="EH2" s="56"/>
      <c r="EI2" s="56"/>
      <c r="EJ2" s="56"/>
      <c r="EK2" s="56"/>
      <c r="EL2" s="56"/>
      <c r="EM2" s="56"/>
      <c r="EN2" s="56"/>
      <c r="EO2" s="56"/>
      <c r="EP2" s="56"/>
      <c r="EQ2" s="56"/>
      <c r="ER2" s="56"/>
      <c r="ES2" s="56"/>
      <c r="ET2" s="56"/>
      <c r="EU2" s="56"/>
      <c r="EV2" s="56"/>
      <c r="EW2" s="56"/>
      <c r="EX2" s="56"/>
      <c r="EY2" s="56"/>
    </row>
    <row r="3" spans="1:155" s="6" customFormat="1" ht="15" customHeight="1" thickBot="1" x14ac:dyDescent="0.35">
      <c r="A3" s="6" t="s">
        <v>135</v>
      </c>
      <c r="B3" s="286"/>
      <c r="C3" s="4"/>
      <c r="D3" s="4"/>
      <c r="E3" s="4"/>
      <c r="F3" s="4"/>
      <c r="G3" s="4"/>
      <c r="H3" s="7"/>
      <c r="I3" s="329"/>
      <c r="J3" s="8" t="s">
        <v>132</v>
      </c>
      <c r="K3" s="8" t="s">
        <v>132</v>
      </c>
      <c r="L3" s="8">
        <v>500</v>
      </c>
      <c r="M3" s="8" t="s">
        <v>132</v>
      </c>
      <c r="N3" s="158">
        <v>0.35</v>
      </c>
      <c r="O3" s="132">
        <v>0</v>
      </c>
      <c r="P3" s="8"/>
      <c r="R3" s="307" t="s">
        <v>136</v>
      </c>
      <c r="S3" s="309">
        <v>1.02</v>
      </c>
      <c r="T3" s="317"/>
      <c r="U3" s="60" t="s">
        <v>134</v>
      </c>
      <c r="V3" s="68"/>
      <c r="W3" s="280">
        <f>$T$90/$W$90</f>
        <v>0.83373373136678797</v>
      </c>
      <c r="X3" s="58"/>
      <c r="Y3" s="69"/>
      <c r="Z3" s="323" t="s">
        <v>138</v>
      </c>
      <c r="AA3" s="323"/>
      <c r="AB3" s="264"/>
      <c r="AC3" s="58"/>
      <c r="AD3" s="70">
        <f>W3</f>
        <v>0.83373373136678797</v>
      </c>
      <c r="AE3" s="58" t="s">
        <v>139</v>
      </c>
      <c r="AF3" s="58"/>
      <c r="AG3" s="58"/>
      <c r="AH3" s="58"/>
      <c r="AI3" s="58"/>
      <c r="AJ3" s="58"/>
      <c r="AK3" s="58"/>
      <c r="AL3" s="58"/>
      <c r="AM3" s="58"/>
      <c r="AN3" s="70">
        <f>AK90/AJ90</f>
        <v>0.83118257787046346</v>
      </c>
      <c r="AO3" s="58" t="s">
        <v>140</v>
      </c>
      <c r="AP3" s="58"/>
      <c r="AQ3" s="58"/>
      <c r="AR3" s="58"/>
      <c r="AS3" s="58"/>
      <c r="AT3" s="58"/>
      <c r="AU3" s="58"/>
      <c r="AV3" s="58"/>
      <c r="AW3" s="58"/>
      <c r="AX3" s="58"/>
      <c r="AY3" s="70">
        <f>AU90/AT90</f>
        <v>0.83264301578813149</v>
      </c>
      <c r="AZ3" s="58" t="s">
        <v>141</v>
      </c>
      <c r="BA3" s="58"/>
      <c r="BB3" s="58"/>
      <c r="BC3" s="58"/>
      <c r="BD3" s="58"/>
      <c r="BE3" s="58"/>
      <c r="BF3" s="58"/>
      <c r="BG3" s="58"/>
      <c r="BH3" s="58"/>
      <c r="BI3" s="58"/>
      <c r="BJ3" s="70">
        <f>BF90/BE90</f>
        <v>0.83264301578813149</v>
      </c>
      <c r="BK3" s="58" t="s">
        <v>142</v>
      </c>
      <c r="BL3" s="58"/>
      <c r="BM3" s="58"/>
      <c r="BN3" s="58"/>
      <c r="BO3" s="58"/>
      <c r="BP3" s="58"/>
      <c r="BQ3" s="58"/>
      <c r="BR3" s="58"/>
      <c r="BS3" s="58"/>
      <c r="BT3" s="58"/>
      <c r="BU3" s="70">
        <f>BQ90/BP90</f>
        <v>0.83264301578813149</v>
      </c>
      <c r="BV3" s="58" t="s">
        <v>143</v>
      </c>
      <c r="BW3" s="58"/>
      <c r="BX3" s="58"/>
      <c r="BY3" s="58"/>
      <c r="BZ3" s="58"/>
      <c r="CA3" s="58"/>
      <c r="CB3" s="58"/>
      <c r="CC3" s="58"/>
      <c r="CD3" s="58"/>
      <c r="CE3" s="68"/>
      <c r="CF3" s="71">
        <f>BU3</f>
        <v>0.83264301578813149</v>
      </c>
      <c r="CG3" s="58" t="s">
        <v>234</v>
      </c>
      <c r="CH3" s="68"/>
      <c r="CI3" s="68"/>
      <c r="CJ3" s="330" t="s">
        <v>235</v>
      </c>
      <c r="CK3" s="330"/>
      <c r="CL3" s="330"/>
      <c r="CM3" s="258"/>
      <c r="CN3" s="56"/>
      <c r="CO3" s="56"/>
      <c r="CP3" s="69"/>
      <c r="CQ3" s="326" t="s">
        <v>138</v>
      </c>
      <c r="CR3" s="327"/>
      <c r="CS3" s="297"/>
      <c r="CT3" s="297"/>
      <c r="CU3" s="301"/>
      <c r="CV3" s="301"/>
      <c r="CW3" s="56"/>
      <c r="CX3" s="56"/>
      <c r="CY3" s="56"/>
      <c r="CZ3" s="56"/>
      <c r="DA3" s="56"/>
      <c r="DB3" s="56"/>
      <c r="DC3" s="56"/>
      <c r="DD3" s="56"/>
      <c r="DE3" s="56"/>
      <c r="DF3" s="56"/>
      <c r="DG3" s="56"/>
      <c r="DH3" s="56"/>
      <c r="DI3" s="56"/>
      <c r="DJ3" s="56"/>
      <c r="DK3" s="56"/>
      <c r="DL3" s="56"/>
      <c r="DM3" s="56"/>
      <c r="DN3" s="56"/>
      <c r="DO3" s="56"/>
      <c r="DP3" s="56"/>
      <c r="DQ3" s="56"/>
      <c r="DR3" s="56"/>
      <c r="DS3" s="56"/>
      <c r="DT3" s="56"/>
      <c r="DU3" s="56"/>
      <c r="DV3" s="56"/>
      <c r="DW3" s="56"/>
      <c r="DX3" s="56"/>
      <c r="DY3" s="56"/>
      <c r="DZ3" s="56"/>
      <c r="EA3" s="56"/>
      <c r="EB3" s="56"/>
      <c r="EC3" s="56"/>
      <c r="ED3" s="56"/>
      <c r="EE3" s="56"/>
      <c r="EF3" s="56"/>
      <c r="EG3" s="56"/>
      <c r="EH3" s="56"/>
      <c r="EI3" s="56"/>
      <c r="EJ3" s="56"/>
      <c r="EK3" s="56"/>
      <c r="EL3" s="56"/>
      <c r="EM3" s="56"/>
      <c r="EN3" s="56"/>
      <c r="EO3" s="56"/>
      <c r="EP3" s="56"/>
      <c r="EQ3" s="56"/>
      <c r="ER3" s="56"/>
      <c r="ES3" s="56"/>
      <c r="ET3" s="56"/>
      <c r="EU3" s="56"/>
      <c r="EV3" s="56"/>
      <c r="EW3" s="56"/>
      <c r="EX3" s="56"/>
      <c r="EY3" s="56"/>
    </row>
    <row r="4" spans="1:155" ht="15" customHeight="1" thickBot="1" x14ac:dyDescent="0.35">
      <c r="A4" s="1">
        <v>1</v>
      </c>
      <c r="C4" s="5">
        <v>3</v>
      </c>
      <c r="D4" s="5">
        <v>4</v>
      </c>
      <c r="E4" s="5">
        <v>5</v>
      </c>
      <c r="F4" s="5">
        <v>6</v>
      </c>
      <c r="G4" s="5">
        <v>7</v>
      </c>
      <c r="H4" s="5">
        <v>8</v>
      </c>
      <c r="I4" s="5">
        <v>9</v>
      </c>
      <c r="J4" s="331" t="s">
        <v>275</v>
      </c>
      <c r="K4" s="332"/>
      <c r="L4" s="332"/>
      <c r="M4" s="333"/>
      <c r="N4" s="5">
        <v>14</v>
      </c>
      <c r="O4" s="5">
        <v>15</v>
      </c>
      <c r="P4" s="5">
        <v>16</v>
      </c>
      <c r="R4" s="59"/>
      <c r="S4" s="278"/>
      <c r="T4" s="318"/>
      <c r="U4" s="227">
        <v>0.1046</v>
      </c>
      <c r="V4" s="67"/>
      <c r="X4" s="62"/>
      <c r="Y4" s="66"/>
      <c r="Z4" s="322">
        <v>0.1</v>
      </c>
      <c r="AA4" s="322"/>
      <c r="AB4" s="229"/>
      <c r="AC4" s="62"/>
      <c r="AD4" s="62"/>
      <c r="AE4" s="62"/>
      <c r="AF4" s="62"/>
      <c r="AG4" s="62"/>
      <c r="AH4" s="62"/>
      <c r="AI4" s="62"/>
      <c r="AJ4" s="62"/>
      <c r="AK4" s="62"/>
      <c r="AL4" s="62"/>
      <c r="AM4" s="62"/>
      <c r="AN4" s="62"/>
      <c r="AO4" s="62"/>
      <c r="AP4" s="62"/>
      <c r="AQ4" s="62"/>
      <c r="AR4" s="62"/>
      <c r="AS4" s="62"/>
      <c r="AT4" s="62"/>
      <c r="AU4" s="62"/>
      <c r="AV4" s="62"/>
      <c r="AW4" s="62"/>
      <c r="AX4" s="62"/>
      <c r="AY4" s="72"/>
      <c r="AZ4" s="73"/>
      <c r="BA4" s="73"/>
      <c r="BB4" s="73"/>
      <c r="BC4" s="72"/>
      <c r="BD4" s="72"/>
      <c r="BE4" s="74"/>
      <c r="BF4" s="74"/>
      <c r="BG4" s="75"/>
      <c r="BH4" s="73"/>
      <c r="BI4" s="62"/>
      <c r="BJ4" s="72"/>
      <c r="BK4" s="72"/>
      <c r="BL4" s="73"/>
      <c r="BM4" s="73"/>
      <c r="BN4" s="72"/>
      <c r="BO4" s="72"/>
      <c r="BP4" s="74"/>
      <c r="BQ4" s="74"/>
      <c r="BR4" s="75"/>
      <c r="BS4" s="73"/>
      <c r="BT4" s="62"/>
      <c r="BU4" s="62"/>
      <c r="BV4" s="62"/>
      <c r="BW4" s="62"/>
      <c r="BX4" s="62"/>
      <c r="BY4" s="62"/>
      <c r="BZ4" s="62"/>
      <c r="CA4" s="62"/>
      <c r="CB4" s="62"/>
      <c r="CC4" s="62"/>
      <c r="CD4" s="62"/>
      <c r="CE4" s="67"/>
      <c r="CF4" s="62"/>
      <c r="CG4" s="67"/>
      <c r="CH4" s="67"/>
      <c r="CI4" s="67"/>
      <c r="CJ4" s="330"/>
      <c r="CK4" s="330"/>
      <c r="CL4" s="330"/>
      <c r="CM4" s="259"/>
      <c r="CP4" s="66"/>
      <c r="CQ4" s="324">
        <f>Z4</f>
        <v>0.1</v>
      </c>
      <c r="CR4" s="325"/>
      <c r="CS4" s="298"/>
    </row>
    <row r="5" spans="1:155" s="53" customFormat="1" ht="83.4" customHeight="1" thickBot="1" x14ac:dyDescent="0.35">
      <c r="A5" s="272" t="s">
        <v>145</v>
      </c>
      <c r="B5" s="284" t="s">
        <v>269</v>
      </c>
      <c r="C5" s="139" t="s">
        <v>146</v>
      </c>
      <c r="D5" s="61" t="s">
        <v>147</v>
      </c>
      <c r="E5" s="61" t="s">
        <v>2</v>
      </c>
      <c r="F5" s="61" t="s">
        <v>148</v>
      </c>
      <c r="G5" s="61" t="s">
        <v>3</v>
      </c>
      <c r="H5" s="159" t="s">
        <v>149</v>
      </c>
      <c r="I5" s="291" t="s">
        <v>150</v>
      </c>
      <c r="J5" s="288" t="s">
        <v>286</v>
      </c>
      <c r="K5" s="289" t="s">
        <v>287</v>
      </c>
      <c r="L5" s="289" t="s">
        <v>288</v>
      </c>
      <c r="M5" s="290" t="s">
        <v>276</v>
      </c>
      <c r="N5" s="292" t="s">
        <v>267</v>
      </c>
      <c r="O5" s="130" t="s">
        <v>151</v>
      </c>
      <c r="P5" s="52" t="s">
        <v>152</v>
      </c>
      <c r="R5" s="76" t="s">
        <v>153</v>
      </c>
      <c r="S5" s="77" t="s">
        <v>154</v>
      </c>
      <c r="T5" s="228" t="s">
        <v>155</v>
      </c>
      <c r="U5" s="225" t="s">
        <v>196</v>
      </c>
      <c r="V5" s="78" t="s">
        <v>156</v>
      </c>
      <c r="W5" s="79" t="s">
        <v>157</v>
      </c>
      <c r="X5" s="80"/>
      <c r="Y5" s="78" t="s">
        <v>258</v>
      </c>
      <c r="Z5" s="81" t="s">
        <v>158</v>
      </c>
      <c r="AA5" s="81" t="s">
        <v>159</v>
      </c>
      <c r="AB5" s="260"/>
      <c r="AC5" s="58"/>
      <c r="AD5" s="82" t="s">
        <v>160</v>
      </c>
      <c r="AE5" s="82" t="s">
        <v>161</v>
      </c>
      <c r="AF5" s="82" t="s">
        <v>162</v>
      </c>
      <c r="AG5" s="82" t="s">
        <v>163</v>
      </c>
      <c r="AH5" s="82" t="s">
        <v>164</v>
      </c>
      <c r="AI5" s="82" t="s">
        <v>165</v>
      </c>
      <c r="AJ5" s="82" t="s">
        <v>166</v>
      </c>
      <c r="AK5" s="82" t="s">
        <v>167</v>
      </c>
      <c r="AL5" s="82" t="s">
        <v>168</v>
      </c>
      <c r="AM5" s="62"/>
      <c r="AN5" s="82" t="s">
        <v>169</v>
      </c>
      <c r="AO5" s="82" t="s">
        <v>170</v>
      </c>
      <c r="AP5" s="82" t="s">
        <v>162</v>
      </c>
      <c r="AQ5" s="82" t="s">
        <v>163</v>
      </c>
      <c r="AR5" s="82" t="s">
        <v>164</v>
      </c>
      <c r="AS5" s="82" t="s">
        <v>165</v>
      </c>
      <c r="AT5" s="82" t="s">
        <v>166</v>
      </c>
      <c r="AU5" s="82" t="s">
        <v>167</v>
      </c>
      <c r="AV5" s="82" t="s">
        <v>168</v>
      </c>
      <c r="AW5" s="82" t="s">
        <v>171</v>
      </c>
      <c r="AX5" s="62"/>
      <c r="AY5" s="83" t="s">
        <v>172</v>
      </c>
      <c r="AZ5" s="82" t="s">
        <v>170</v>
      </c>
      <c r="BA5" s="82" t="s">
        <v>162</v>
      </c>
      <c r="BB5" s="82" t="s">
        <v>163</v>
      </c>
      <c r="BC5" s="82" t="s">
        <v>164</v>
      </c>
      <c r="BD5" s="82" t="s">
        <v>165</v>
      </c>
      <c r="BE5" s="82" t="s">
        <v>166</v>
      </c>
      <c r="BF5" s="82" t="s">
        <v>167</v>
      </c>
      <c r="BG5" s="82" t="s">
        <v>168</v>
      </c>
      <c r="BH5" s="82" t="s">
        <v>171</v>
      </c>
      <c r="BI5" s="62"/>
      <c r="BJ5" s="83" t="s">
        <v>173</v>
      </c>
      <c r="BK5" s="82" t="s">
        <v>170</v>
      </c>
      <c r="BL5" s="82" t="s">
        <v>162</v>
      </c>
      <c r="BM5" s="82" t="s">
        <v>163</v>
      </c>
      <c r="BN5" s="82" t="s">
        <v>164</v>
      </c>
      <c r="BO5" s="82" t="s">
        <v>165</v>
      </c>
      <c r="BP5" s="82" t="s">
        <v>166</v>
      </c>
      <c r="BQ5" s="82" t="s">
        <v>167</v>
      </c>
      <c r="BR5" s="82" t="s">
        <v>168</v>
      </c>
      <c r="BS5" s="82" t="s">
        <v>171</v>
      </c>
      <c r="BT5" s="62"/>
      <c r="BU5" s="83" t="s">
        <v>174</v>
      </c>
      <c r="BV5" s="82" t="s">
        <v>170</v>
      </c>
      <c r="BW5" s="82" t="s">
        <v>162</v>
      </c>
      <c r="BX5" s="82" t="s">
        <v>163</v>
      </c>
      <c r="BY5" s="82" t="s">
        <v>164</v>
      </c>
      <c r="BZ5" s="82" t="s">
        <v>165</v>
      </c>
      <c r="CA5" s="82" t="s">
        <v>166</v>
      </c>
      <c r="CB5" s="82" t="s">
        <v>167</v>
      </c>
      <c r="CC5" s="82" t="s">
        <v>168</v>
      </c>
      <c r="CD5" s="82" t="s">
        <v>171</v>
      </c>
      <c r="CE5" s="67"/>
      <c r="CF5" s="83" t="s">
        <v>175</v>
      </c>
      <c r="CG5" s="82" t="s">
        <v>170</v>
      </c>
      <c r="CH5" s="82" t="s">
        <v>162</v>
      </c>
      <c r="CI5" s="82" t="s">
        <v>163</v>
      </c>
      <c r="CJ5" s="84" t="s">
        <v>176</v>
      </c>
      <c r="CK5" s="82" t="s">
        <v>165</v>
      </c>
      <c r="CL5" s="82" t="s">
        <v>177</v>
      </c>
      <c r="CM5" s="260"/>
      <c r="CN5" s="82" t="s">
        <v>277</v>
      </c>
      <c r="CO5" s="154"/>
      <c r="CP5" s="299" t="s">
        <v>284</v>
      </c>
      <c r="CQ5" s="299" t="s">
        <v>158</v>
      </c>
      <c r="CR5" s="299" t="s">
        <v>159</v>
      </c>
      <c r="CS5" s="300" t="s">
        <v>283</v>
      </c>
      <c r="CT5" s="300" t="s">
        <v>285</v>
      </c>
      <c r="CU5" s="67"/>
      <c r="CV5" s="302"/>
      <c r="CW5" s="154"/>
      <c r="CX5" s="154"/>
      <c r="CY5" s="154"/>
      <c r="CZ5" s="154"/>
      <c r="DA5" s="154"/>
      <c r="DB5" s="154"/>
      <c r="DC5" s="154"/>
      <c r="DD5" s="154"/>
      <c r="DE5" s="154"/>
      <c r="DF5" s="154"/>
      <c r="DG5" s="154"/>
      <c r="DH5" s="154"/>
      <c r="DI5" s="154"/>
      <c r="DJ5" s="154"/>
      <c r="DK5" s="154"/>
      <c r="DL5" s="154"/>
      <c r="DM5" s="154"/>
      <c r="DN5" s="154"/>
      <c r="DO5" s="154"/>
      <c r="DP5" s="154"/>
      <c r="DQ5" s="154"/>
      <c r="DR5" s="154"/>
      <c r="DS5" s="154"/>
      <c r="DT5" s="154"/>
      <c r="DU5" s="154"/>
      <c r="DV5" s="154"/>
      <c r="DW5" s="154"/>
      <c r="DX5" s="154"/>
      <c r="DY5" s="154"/>
      <c r="DZ5" s="154"/>
      <c r="EA5" s="154"/>
      <c r="EB5" s="154"/>
      <c r="EC5" s="154"/>
      <c r="ED5" s="154"/>
      <c r="EE5" s="154"/>
      <c r="EF5" s="154"/>
      <c r="EG5" s="154"/>
      <c r="EH5" s="154"/>
      <c r="EI5" s="154"/>
      <c r="EJ5" s="154"/>
      <c r="EK5" s="154"/>
      <c r="EL5" s="154"/>
      <c r="EM5" s="154"/>
      <c r="EN5" s="154"/>
      <c r="EO5" s="154"/>
      <c r="EP5" s="154"/>
      <c r="EQ5" s="154"/>
      <c r="ER5" s="154"/>
      <c r="ES5" s="154"/>
      <c r="ET5" s="154"/>
      <c r="EU5" s="154"/>
      <c r="EV5" s="154"/>
      <c r="EW5" s="154"/>
      <c r="EX5" s="154"/>
      <c r="EY5" s="154"/>
    </row>
    <row r="6" spans="1:155" s="153" customFormat="1" ht="15" customHeight="1" x14ac:dyDescent="0.3">
      <c r="A6" s="174">
        <v>60001</v>
      </c>
      <c r="B6" s="176" t="s">
        <v>270</v>
      </c>
      <c r="C6" s="175">
        <f>VLOOKUP($A6,'Fed Bs Rt+IME+GME+VBP+RAA+HAC'!$B$5:$AC$88,15,FALSE)</f>
        <v>6553.4517299999998</v>
      </c>
      <c r="D6" s="175">
        <f>VLOOKUP($A6,'Fed Bs Rt+IME+GME+VBP+RAA+HAC'!$B$5:$AC$88,21,FALSE)</f>
        <v>502.29569429142003</v>
      </c>
      <c r="E6" s="175">
        <f>VLOOKUP($A6,'Fed Bs Rt+IME+GME+VBP+RAA+HAC'!$B$5:$AC$88,25,FALSE)</f>
        <v>-4.2588527394000266</v>
      </c>
      <c r="F6" s="175">
        <f>VLOOKUP($A6,'Fed Bs Rt+IME+GME+VBP+RAA+HAC'!$B$5:$AC$88,23,FALSE)</f>
        <v>2.251107876540118</v>
      </c>
      <c r="G6" s="175">
        <f>VLOOKUP($A6,'Fed Bs Rt+IME+GME+VBP+RAA+HAC'!$B$5:$AC$88,28,FALSE)</f>
        <v>0</v>
      </c>
      <c r="H6" s="175">
        <f>SUM(D6:G6)</f>
        <v>500.28794942856013</v>
      </c>
      <c r="I6" s="175">
        <f>VLOOKUP($A6,'Fed Bs Rt+IME+GME+VBP+RAA+HAC'!$B$5:$AC$88,16,FALSE)</f>
        <v>78.33212097636877</v>
      </c>
      <c r="J6" s="293">
        <f>IF(B6="CAH",+C6*J$1,0)</f>
        <v>0</v>
      </c>
      <c r="K6" s="293">
        <f t="shared" ref="K6:K37" si="0">IF(OR(B6="SCH",B6="MDH"),+C6*K$1,0)</f>
        <v>0</v>
      </c>
      <c r="L6" s="294">
        <f>IF(OR(J6&gt;0,K6&gt;0,M6&gt;0),0,IF(VLOOKUP(A6,'Low Discharge'!A:C,3,FALSE)&lt;=L$3,L$1*C6,IF(VLOOKUP(A6,'Low Discharge'!A:C,3,FALSE)&gt;=L$2,0,(VLOOKUP(A6,'Low Discharge'!A:C,3,FALSE)-L$2)/(L$3-L$2)*L$1*C6)))</f>
        <v>0</v>
      </c>
      <c r="M6" s="294">
        <f>IF(VLOOKUP($A6,Characteristics!$A:$E,3,FALSE)=2,M$1*C6,0)</f>
        <v>0</v>
      </c>
      <c r="N6" s="170">
        <f>IF(VLOOKUP($A6,Characteristics!$A:$E,5,FALSE)&gt;=N$2,N$1*C6,IF(VLOOKUP($A6,Characteristics!$A:$E,5,FALSE)&lt;=N$3,0,(VLOOKUP($A6,Characteristics!$A:$E,5,FALSE)-N$3)/(N$2-N$3)*N$1*C6))</f>
        <v>0</v>
      </c>
      <c r="O6" s="170">
        <f>IF(VLOOKUP($A6,Characteristics!$A:$F,6,FALSE)&lt;=O$3,O$1*C6,IF(VLOOKUP($A6,Characteristics!$A:$F,6,FALSE)&gt;=O$2,0,(VLOOKUP($A6,Characteristics!$A:$F,6,FALSE)-O$2)/(O$3-O$2)*O$1*C6))</f>
        <v>0</v>
      </c>
      <c r="P6" s="175">
        <f t="shared" ref="P6:P37" si="1">SUM(C6,H6:O6)</f>
        <v>7132.0718004049286</v>
      </c>
      <c r="Q6" s="175"/>
      <c r="R6" s="85">
        <v>5852.75</v>
      </c>
      <c r="S6" s="86">
        <f>R6*$S$2</f>
        <v>5999.0687499999995</v>
      </c>
      <c r="T6" s="87">
        <f t="shared" ref="T6:T37" si="2">S6*U6*V6</f>
        <v>22669806.043355078</v>
      </c>
      <c r="U6" s="88">
        <v>2936.0268000000001</v>
      </c>
      <c r="V6" s="89">
        <v>1.2870752821670428</v>
      </c>
      <c r="W6" s="90">
        <f t="shared" ref="W6:W37" si="3">P6*U6*V6</f>
        <v>26951297.132986184</v>
      </c>
      <c r="X6" s="91"/>
      <c r="Y6" s="85">
        <f>S6</f>
        <v>5999.0687499999995</v>
      </c>
      <c r="Z6" s="85">
        <f>Y6*(1-$Z$4)</f>
        <v>5399.1618749999998</v>
      </c>
      <c r="AA6" s="85">
        <f>Y6*(1+$Z$4)</f>
        <v>6598.975625</v>
      </c>
      <c r="AB6" s="230"/>
      <c r="AC6" s="58"/>
      <c r="AD6" s="85">
        <f>$P6*AD$3</f>
        <v>5946.2488345274469</v>
      </c>
      <c r="AE6" s="85">
        <f t="shared" ref="AE6:AE37" si="4">AD6*$U6*$V6</f>
        <v>22470205.523859583</v>
      </c>
      <c r="AF6" s="92">
        <f>IF(AD6&lt;=$Z6,1,0)</f>
        <v>0</v>
      </c>
      <c r="AG6" s="92">
        <f>IF(AD6&gt;=$AA6,1,0)</f>
        <v>0</v>
      </c>
      <c r="AH6" s="85">
        <f>MAX(MIN(AD6,$AA6),$Z6)</f>
        <v>5946.2488345274469</v>
      </c>
      <c r="AI6" s="85">
        <f t="shared" ref="AI6:AI37" si="5">AH6*$U6*$V6</f>
        <v>22470205.523859583</v>
      </c>
      <c r="AJ6" s="93">
        <f t="shared" ref="AJ6:AJ37" si="6">IF(OR(AND(AF6=1,AI$90&gt;$T$90),AND(AG6=1,AI$90&lt;$T$90)),0,$W6)</f>
        <v>26951297.132986184</v>
      </c>
      <c r="AK6" s="93">
        <f t="shared" ref="AK6:AK69" si="7">IF(OR(AND(AF6=1,AI$90&gt;$T$90),AND(AG6=1,AI$90&lt;$T$90)),$T6-AI6,$T6)</f>
        <v>22669806.043355078</v>
      </c>
      <c r="AL6" s="94">
        <f>IF(OR(AND(AF6=1,AI$90&gt;$T$90),AND(AG6=1,AI$90&lt;$T$90)),1,0)</f>
        <v>0</v>
      </c>
      <c r="AM6" s="95"/>
      <c r="AN6" s="85">
        <f>IF(AL6=1,AH6,$P6*AN$3)</f>
        <v>5928.0538246178057</v>
      </c>
      <c r="AO6" s="85">
        <f t="shared" ref="AO6:AO37" si="8">AN6*$U6*$V6</f>
        <v>22401448.627948284</v>
      </c>
      <c r="AP6" s="92">
        <f>IF(AN6&lt;=$Z6,1,0)</f>
        <v>0</v>
      </c>
      <c r="AQ6" s="92">
        <f>IF(AN6&gt;=$AA6,1,0)</f>
        <v>0</v>
      </c>
      <c r="AR6" s="85">
        <f>MAX(MIN(AN6,$AA6),$Z6)</f>
        <v>5928.0538246178057</v>
      </c>
      <c r="AS6" s="85">
        <f t="shared" ref="AS6:AS37" si="9">AR6*$U6*$V6</f>
        <v>22401448.627948284</v>
      </c>
      <c r="AT6" s="93">
        <f t="shared" ref="AT6:AT37" si="10">IF(OR(AND(AP6=1,AS$90&gt;$T$90),AND(AQ6=1,AS$90&lt;$T$90),AL6=1),0,$W6)</f>
        <v>26951297.132986184</v>
      </c>
      <c r="AU6" s="93">
        <f t="shared" ref="AU6:AU69" si="11">IF(OR(AND(AP6=1,AS$90&gt;$T$90),AND(AQ6=1,AS$90&lt;$T$90),AL6=1),$T6-AS6,$T6)</f>
        <v>22669806.043355078</v>
      </c>
      <c r="AV6" s="94">
        <f t="shared" ref="AV6:AV69" si="12">IF(OR(AND(AP6=1,AS$90&gt;$T$90),AND(AQ6=1,AS$90&lt;$T$90),AL6=1),1,0)</f>
        <v>0</v>
      </c>
      <c r="AW6" s="92">
        <f t="shared" ref="AW6:AW71" si="13">IF(AV6=AL6,0,1)</f>
        <v>0</v>
      </c>
      <c r="AX6" s="95"/>
      <c r="AY6" s="85">
        <f>IF(AV6=1,AR6,$P6*AY$3)</f>
        <v>5938.4697727066487</v>
      </c>
      <c r="AZ6" s="85">
        <f t="shared" ref="AZ6:AZ37" si="14">AY6*$U6*$V6</f>
        <v>22440809.324211635</v>
      </c>
      <c r="BA6" s="92">
        <f>IF(AY6&lt;=$Z6,1,0)</f>
        <v>0</v>
      </c>
      <c r="BB6" s="92">
        <f>IF(AY6&gt;=$AA6,1,0)</f>
        <v>0</v>
      </c>
      <c r="BC6" s="85">
        <f>MAX(MIN(AY6,$AA6),$Z6)</f>
        <v>5938.4697727066487</v>
      </c>
      <c r="BD6" s="85">
        <f t="shared" ref="BD6:BD37" si="15">BC6*$U6*$V6</f>
        <v>22440809.324211635</v>
      </c>
      <c r="BE6" s="96">
        <f t="shared" ref="BE6:BE37" si="16">IF(OR(AND(BA6=1,BD$90&gt;$T$90),AND(BB6=1,BD$90&lt;$T$90),AV6=1),0,$W6)</f>
        <v>26951297.132986184</v>
      </c>
      <c r="BF6" s="96">
        <f t="shared" ref="BF6:BF69" si="17">IF(OR(AND(BA6=1,BD$90&gt;$T$90),AND(BB6=1,BD$90&lt;$T$90),AV6=1),$T6-BD6,$T6)</f>
        <v>22669806.043355078</v>
      </c>
      <c r="BG6" s="94">
        <f t="shared" ref="BG6:BG69" si="18">IF(OR(AND(BA6=1,BD$90&gt;$T$90),AND(BB6=1,BD$90&lt;$T$90),AV6=1),1,0)</f>
        <v>0</v>
      </c>
      <c r="BH6" s="92">
        <f t="shared" ref="BH6:BH69" si="19">IF(BG6=AV6,0,1)</f>
        <v>0</v>
      </c>
      <c r="BI6" s="95"/>
      <c r="BJ6" s="85">
        <f>IF(BG6=1,BC6,$P6*BJ$3)</f>
        <v>5938.4697727066487</v>
      </c>
      <c r="BK6" s="85">
        <f t="shared" ref="BK6:BK37" si="20">BJ6*$U6*$V6</f>
        <v>22440809.324211635</v>
      </c>
      <c r="BL6" s="92">
        <f>IF(BJ6&lt;=$Z6,1,0)</f>
        <v>0</v>
      </c>
      <c r="BM6" s="92">
        <f>IF(BJ6&gt;=$AA6,1,0)</f>
        <v>0</v>
      </c>
      <c r="BN6" s="85">
        <f>MAX(MIN(BJ6,$AA6),$Z6)</f>
        <v>5938.4697727066487</v>
      </c>
      <c r="BO6" s="85">
        <f t="shared" ref="BO6:BO37" si="21">BN6*$U6*$V6</f>
        <v>22440809.324211635</v>
      </c>
      <c r="BP6" s="93">
        <f t="shared" ref="BP6:BP37" si="22">IF(OR(AND(BL6=1,BO$90&gt;$T$90),AND(BM6=1,BO$90&lt;$T$90),BG6=1),0,$W6)</f>
        <v>26951297.132986184</v>
      </c>
      <c r="BQ6" s="93">
        <f t="shared" ref="BQ6:BQ69" si="23">IF(OR(AND(BL6=1,BO$90&gt;$T$90),AND(BM6=1,BO$90&lt;$T$90),BG6=1),$T6-BO6,$T6)</f>
        <v>22669806.043355078</v>
      </c>
      <c r="BR6" s="94">
        <f t="shared" ref="BR6:BR69" si="24">IF(OR(AND(BL6=1,BO$90&gt;$T$90),AND(BM6=1,BO$90&lt;$T$90),BG6=1),1,0)</f>
        <v>0</v>
      </c>
      <c r="BS6" s="92">
        <f t="shared" ref="BS6:BS69" si="25">IF(BR6=BG6,0,1)</f>
        <v>0</v>
      </c>
      <c r="BT6" s="95"/>
      <c r="BU6" s="85">
        <f>IF(BR6=1,BN6,$P6*BU$3)</f>
        <v>5938.4697727066487</v>
      </c>
      <c r="BV6" s="85">
        <f t="shared" ref="BV6:BV37" si="26">BU6*$U6*$V6</f>
        <v>22440809.324211635</v>
      </c>
      <c r="BW6" s="92">
        <f>IF(BU6&lt;=$Z6,1,0)</f>
        <v>0</v>
      </c>
      <c r="BX6" s="92">
        <f>IF(BU6&gt;=$AA6,1,0)</f>
        <v>0</v>
      </c>
      <c r="BY6" s="85">
        <f>MAX(MIN(BU6,$AA6),$Z6)</f>
        <v>5938.4697727066487</v>
      </c>
      <c r="BZ6" s="85">
        <f t="shared" ref="BZ6:BZ37" si="27">BY6*$U6*$V6</f>
        <v>22440809.324211635</v>
      </c>
      <c r="CA6" s="96">
        <f t="shared" ref="CA6:CA37" si="28">IF(OR(AND(BW6=1,BZ$90&gt;$T$90),AND(BX6=1,BZ$90&lt;$T$90),BR6=1),0,$W6)</f>
        <v>26951297.132986184</v>
      </c>
      <c r="CB6" s="96">
        <f t="shared" ref="CB6:CB69" si="29">IF(OR(AND(BW6=1,BZ$90&gt;$T$90),AND(BX6=1,BZ$90&lt;$T$90),BR6=1),$T6-BZ6,$T6)</f>
        <v>22669806.043355078</v>
      </c>
      <c r="CC6" s="94">
        <f t="shared" ref="CC6:CC69" si="30">IF(OR(AND(BW6=1,BZ$90&gt;$T$90),AND(BX6=1,BZ$90&lt;$T$90),BR6=1),1,0)</f>
        <v>0</v>
      </c>
      <c r="CD6" s="92">
        <f t="shared" ref="CD6:CD69" si="31">IF(CC6=BR6,0,1)</f>
        <v>0</v>
      </c>
      <c r="CE6" s="66"/>
      <c r="CF6" s="85">
        <f>$P6*CF$3</f>
        <v>5938.4697727066487</v>
      </c>
      <c r="CG6" s="85">
        <f t="shared" ref="CG6:CG37" si="32">CF6*$U6*$V6</f>
        <v>22440809.324211635</v>
      </c>
      <c r="CH6" s="92">
        <f>IF(CF6&lt;=$Z6,1,0)</f>
        <v>0</v>
      </c>
      <c r="CI6" s="92">
        <f>IF(CF6&gt;=$AA6,1,0)</f>
        <v>0</v>
      </c>
      <c r="CJ6" s="85">
        <f>MAX(MIN(CF6,$AA6),$Z6)</f>
        <v>5938.4697727066487</v>
      </c>
      <c r="CK6" s="85">
        <f t="shared" ref="CK6:CK37" si="33">CJ6*$U6*$V6</f>
        <v>22440809.324211635</v>
      </c>
      <c r="CL6" s="97">
        <f t="shared" ref="CL6:CL69" si="34">CJ6/Y6</f>
        <v>0.98989860263005802</v>
      </c>
      <c r="CM6" s="261"/>
      <c r="CN6" s="295">
        <f>ROUND(CJ6*$S$3,2)</f>
        <v>6057.24</v>
      </c>
      <c r="CP6" s="85">
        <f>CN6</f>
        <v>6057.24</v>
      </c>
      <c r="CQ6" s="85">
        <f>CP6*(1-CQ$4)</f>
        <v>5451.5159999999996</v>
      </c>
      <c r="CR6" s="85">
        <f>CP6*(1+CQ$4)</f>
        <v>6662.9639999999999</v>
      </c>
      <c r="CS6" s="295">
        <f>CF6*S$3</f>
        <v>6057.2391681607814</v>
      </c>
      <c r="CT6" s="295">
        <f>MIN(MAX(CS6,CQ6),CR6)</f>
        <v>6057.2391681607814</v>
      </c>
      <c r="CU6" s="303"/>
      <c r="CV6" s="303"/>
    </row>
    <row r="7" spans="1:155" s="153" customFormat="1" ht="15" customHeight="1" x14ac:dyDescent="0.3">
      <c r="A7" s="174">
        <v>60003</v>
      </c>
      <c r="B7" s="176" t="s">
        <v>270</v>
      </c>
      <c r="C7" s="175">
        <f>VLOOKUP($A7,'Fed Bs Rt+IME+GME+VBP+RAA+HAC'!$B$5:$AC$88,15,FALSE)</f>
        <v>6708.8630929999999</v>
      </c>
      <c r="D7" s="175">
        <f>VLOOKUP($A7,'Fed Bs Rt+IME+GME+VBP+RAA+HAC'!$B$5:$AC$88,21,FALSE)</f>
        <v>0</v>
      </c>
      <c r="E7" s="175">
        <f>VLOOKUP($A7,'Fed Bs Rt+IME+GME+VBP+RAA+HAC'!$B$5:$AC$88,25,FALSE)</f>
        <v>-98.402443734400549</v>
      </c>
      <c r="F7" s="175">
        <f>VLOOKUP($A7,'Fed Bs Rt+IME+GME+VBP+RAA+HAC'!$B$5:$AC$88,23,FALSE)</f>
        <v>-23.666410518400159</v>
      </c>
      <c r="G7" s="175">
        <f>VLOOKUP($A7,'Fed Bs Rt+IME+GME+VBP+RAA+HAC'!$B$5:$AC$88,28,FALSE)</f>
        <v>-67.088630929999994</v>
      </c>
      <c r="H7" s="175">
        <f t="shared" ref="H7:H70" si="35">SUM(D7:G7)</f>
        <v>-189.15748518280071</v>
      </c>
      <c r="I7" s="175">
        <f>VLOOKUP($A7,'Fed Bs Rt+IME+GME+VBP+RAA+HAC'!$B$5:$AC$88,16,FALSE)</f>
        <v>0</v>
      </c>
      <c r="J7" s="175">
        <f t="shared" ref="J7:J70" si="36">IF(B7="CAH",+C7*J$1,0)</f>
        <v>0</v>
      </c>
      <c r="K7" s="175">
        <f t="shared" si="0"/>
        <v>0</v>
      </c>
      <c r="L7" s="294">
        <f>IF(OR(J7&gt;0,K7&gt;0,M7&gt;0),0,IF(VLOOKUP(A7,'Low Discharge'!A:C,3,FALSE)&lt;=L$3,L$1*C7,IF(VLOOKUP(A7,'Low Discharge'!A:C,3,FALSE)&gt;=L$2,0,(VLOOKUP(A7,'Low Discharge'!A:C,3,FALSE)-L$2)/(L$3-L$2)*L$1*C7)))</f>
        <v>0</v>
      </c>
      <c r="M7" s="170">
        <f>IF(VLOOKUP($A7,Characteristics!$A:$E,3,FALSE)=2,M$1*C7,0)</f>
        <v>0</v>
      </c>
      <c r="N7" s="170">
        <f>IF(VLOOKUP($A7,Characteristics!$A:$E,5,FALSE)&gt;=N$2,N$1*C7,IF(VLOOKUP($A7,Characteristics!$A:$E,5,FALSE)&lt;=N$3,0,(VLOOKUP($A7,Characteristics!$A:$E,5,FALSE)-N$3)/(N$2-N$3)*N$1*C7))</f>
        <v>0</v>
      </c>
      <c r="O7" s="170">
        <f>IF(VLOOKUP($A7,Characteristics!$A:$F,6,FALSE)&lt;=O$3,O$1*C7,IF(VLOOKUP($A7,Characteristics!$A:$F,6,FALSE)&gt;=O$2,0,(VLOOKUP($A7,Characteristics!$A:$F,6,FALSE)-O$2)/(O$3-O$2)*O$1*C7))</f>
        <v>0</v>
      </c>
      <c r="P7" s="175">
        <f t="shared" si="1"/>
        <v>6519.7056078171991</v>
      </c>
      <c r="Q7" s="175"/>
      <c r="R7" s="85">
        <v>5262.91</v>
      </c>
      <c r="S7" s="86">
        <f t="shared" ref="S7:S70" si="37">R7*$S$2</f>
        <v>5394.4827499999992</v>
      </c>
      <c r="T7" s="85">
        <f t="shared" si="2"/>
        <v>5421846.5743636908</v>
      </c>
      <c r="U7" s="88">
        <v>806.35799999999995</v>
      </c>
      <c r="V7" s="89">
        <v>1.2464346575342466</v>
      </c>
      <c r="W7" s="90">
        <f t="shared" si="3"/>
        <v>6552777.1899175001</v>
      </c>
      <c r="X7" s="98" t="s">
        <v>5</v>
      </c>
      <c r="Y7" s="85">
        <f t="shared" ref="Y7:Y70" si="38">S7</f>
        <v>5394.4827499999992</v>
      </c>
      <c r="Z7" s="85">
        <f t="shared" ref="Z7:Z70" si="39">Y7*(1-$Z$4)</f>
        <v>4855.0344749999995</v>
      </c>
      <c r="AA7" s="85">
        <f t="shared" ref="AA7:AA70" si="40">Y7*(1+$Z$4)</f>
        <v>5933.9310249999999</v>
      </c>
      <c r="AB7" s="230"/>
      <c r="AC7" s="99"/>
      <c r="AD7" s="85">
        <f t="shared" ref="AD7:AD70" si="41">$P7*AD$3</f>
        <v>5435.6984838184053</v>
      </c>
      <c r="AE7" s="85">
        <f t="shared" si="4"/>
        <v>5463271.3773650927</v>
      </c>
      <c r="AF7" s="92">
        <f t="shared" ref="AF7:AF70" si="42">IF(AD7&lt;=$Z7,1,0)</f>
        <v>0</v>
      </c>
      <c r="AG7" s="92">
        <f t="shared" ref="AG7:AG70" si="43">IF(AD7&gt;=$AA7,1,0)</f>
        <v>0</v>
      </c>
      <c r="AH7" s="85">
        <f t="shared" ref="AH7:AH70" si="44">MAX(MIN(AD7,$AA7),$Z7)</f>
        <v>5435.6984838184053</v>
      </c>
      <c r="AI7" s="85">
        <f t="shared" si="5"/>
        <v>5463271.3773650927</v>
      </c>
      <c r="AJ7" s="93">
        <f t="shared" si="6"/>
        <v>6552777.1899175001</v>
      </c>
      <c r="AK7" s="93">
        <f t="shared" si="7"/>
        <v>5421846.5743636908</v>
      </c>
      <c r="AL7" s="94">
        <f t="shared" ref="AL7:AL70" si="45">IF(OR(AND(AF7=1,AI$90&gt;$T$90),AND(AG7=1,AI$90&lt;$T$90)),1,0)</f>
        <v>0</v>
      </c>
      <c r="AM7" s="95"/>
      <c r="AN7" s="85">
        <f t="shared" ref="AN7:AN70" si="46">IF(AL7=1,AH7,$P7*AN$3)</f>
        <v>5419.065714062016</v>
      </c>
      <c r="AO7" s="85">
        <f t="shared" si="8"/>
        <v>5446554.2369263992</v>
      </c>
      <c r="AP7" s="92">
        <f t="shared" ref="AP7:AP70" si="47">IF(AN7&lt;=$Z7,1,0)</f>
        <v>0</v>
      </c>
      <c r="AQ7" s="92">
        <f t="shared" ref="AQ7:AQ70" si="48">IF(AN7&gt;=$AA7,1,0)</f>
        <v>0</v>
      </c>
      <c r="AR7" s="85">
        <f t="shared" ref="AR7:AR70" si="49">MAX(MIN(AN7,$AA7),$Z7)</f>
        <v>5419.065714062016</v>
      </c>
      <c r="AS7" s="85">
        <f t="shared" si="9"/>
        <v>5446554.2369263992</v>
      </c>
      <c r="AT7" s="93">
        <f t="shared" si="10"/>
        <v>6552777.1899175001</v>
      </c>
      <c r="AU7" s="93">
        <f t="shared" si="11"/>
        <v>5421846.5743636908</v>
      </c>
      <c r="AV7" s="94">
        <f t="shared" si="12"/>
        <v>0</v>
      </c>
      <c r="AW7" s="92">
        <f t="shared" si="13"/>
        <v>0</v>
      </c>
      <c r="AX7" s="95"/>
      <c r="AY7" s="85">
        <f t="shared" ref="AY7:AY70" si="50">IF(AV7=1,AR7,$P7*AY$3)</f>
        <v>5428.5873393437059</v>
      </c>
      <c r="AZ7" s="85">
        <f t="shared" si="14"/>
        <v>5456124.1612005858</v>
      </c>
      <c r="BA7" s="92">
        <f t="shared" ref="BA7:BA70" si="51">IF(AY7&lt;=$Z7,1,0)</f>
        <v>0</v>
      </c>
      <c r="BB7" s="92">
        <f t="shared" ref="BB7:BB70" si="52">IF(AY7&gt;=$AA7,1,0)</f>
        <v>0</v>
      </c>
      <c r="BC7" s="85">
        <f t="shared" ref="BC7:BC70" si="53">MAX(MIN(AY7,$AA7),$Z7)</f>
        <v>5428.5873393437059</v>
      </c>
      <c r="BD7" s="85">
        <f t="shared" si="15"/>
        <v>5456124.1612005858</v>
      </c>
      <c r="BE7" s="96">
        <f t="shared" si="16"/>
        <v>6552777.1899175001</v>
      </c>
      <c r="BF7" s="96">
        <f t="shared" si="17"/>
        <v>5421846.5743636908</v>
      </c>
      <c r="BG7" s="94">
        <f t="shared" si="18"/>
        <v>0</v>
      </c>
      <c r="BH7" s="92">
        <f t="shared" si="19"/>
        <v>0</v>
      </c>
      <c r="BI7" s="95"/>
      <c r="BJ7" s="85">
        <f t="shared" ref="BJ7:BJ70" si="54">IF(BG7=1,BC7,$P7*BJ$3)</f>
        <v>5428.5873393437059</v>
      </c>
      <c r="BK7" s="85">
        <f t="shared" si="20"/>
        <v>5456124.1612005858</v>
      </c>
      <c r="BL7" s="92">
        <f t="shared" ref="BL7:BL70" si="55">IF(BJ7&lt;=$Z7,1,0)</f>
        <v>0</v>
      </c>
      <c r="BM7" s="92">
        <f t="shared" ref="BM7:BM70" si="56">IF(BJ7&gt;=$AA7,1,0)</f>
        <v>0</v>
      </c>
      <c r="BN7" s="85">
        <f t="shared" ref="BN7:BN70" si="57">MAX(MIN(BJ7,$AA7),$Z7)</f>
        <v>5428.5873393437059</v>
      </c>
      <c r="BO7" s="85">
        <f t="shared" si="21"/>
        <v>5456124.1612005858</v>
      </c>
      <c r="BP7" s="93">
        <f t="shared" si="22"/>
        <v>6552777.1899175001</v>
      </c>
      <c r="BQ7" s="93">
        <f t="shared" si="23"/>
        <v>5421846.5743636908</v>
      </c>
      <c r="BR7" s="94">
        <f t="shared" si="24"/>
        <v>0</v>
      </c>
      <c r="BS7" s="92">
        <f t="shared" si="25"/>
        <v>0</v>
      </c>
      <c r="BT7" s="95"/>
      <c r="BU7" s="85">
        <f t="shared" ref="BU7:BU70" si="58">IF(BR7=1,BN7,$P7*BU$3)</f>
        <v>5428.5873393437059</v>
      </c>
      <c r="BV7" s="85">
        <f t="shared" si="26"/>
        <v>5456124.1612005858</v>
      </c>
      <c r="BW7" s="92">
        <f t="shared" ref="BW7:BW70" si="59">IF(BU7&lt;=$Z7,1,0)</f>
        <v>0</v>
      </c>
      <c r="BX7" s="92">
        <f t="shared" ref="BX7:BX70" si="60">IF(BU7&gt;=$AA7,1,0)</f>
        <v>0</v>
      </c>
      <c r="BY7" s="85">
        <f t="shared" ref="BY7:BY70" si="61">MAX(MIN(BU7,$AA7),$Z7)</f>
        <v>5428.5873393437059</v>
      </c>
      <c r="BZ7" s="85">
        <f t="shared" si="27"/>
        <v>5456124.1612005858</v>
      </c>
      <c r="CA7" s="96">
        <f t="shared" si="28"/>
        <v>6552777.1899175001</v>
      </c>
      <c r="CB7" s="96">
        <f t="shared" si="29"/>
        <v>5421846.5743636908</v>
      </c>
      <c r="CC7" s="94">
        <f t="shared" si="30"/>
        <v>0</v>
      </c>
      <c r="CD7" s="92">
        <f t="shared" si="31"/>
        <v>0</v>
      </c>
      <c r="CE7" s="66"/>
      <c r="CF7" s="85">
        <f t="shared" ref="CF7:CF69" si="62">$P7*CF$3</f>
        <v>5428.5873393437059</v>
      </c>
      <c r="CG7" s="85">
        <f t="shared" si="32"/>
        <v>5456124.1612005858</v>
      </c>
      <c r="CH7" s="92">
        <f t="shared" ref="CH7:CH70" si="63">IF(CF7&lt;=$Z7,1,0)</f>
        <v>0</v>
      </c>
      <c r="CI7" s="92">
        <f t="shared" ref="CI7:CI70" si="64">IF(CF7&gt;=$AA7,1,0)</f>
        <v>0</v>
      </c>
      <c r="CJ7" s="85">
        <f t="shared" ref="CJ7:CJ70" si="65">MAX(MIN(CF7,$AA7),$Z7)</f>
        <v>5428.5873393437059</v>
      </c>
      <c r="CK7" s="85">
        <f t="shared" si="33"/>
        <v>5456124.1612005858</v>
      </c>
      <c r="CL7" s="97">
        <f t="shared" si="34"/>
        <v>1.0063221240894147</v>
      </c>
      <c r="CM7" s="261"/>
      <c r="CN7" s="295">
        <f t="shared" ref="CN7:CN70" si="66">ROUND(CJ7*$S$3,2)</f>
        <v>5537.16</v>
      </c>
      <c r="CP7" s="85">
        <f t="shared" ref="CP7:CP70" si="67">CN7</f>
        <v>5537.16</v>
      </c>
      <c r="CQ7" s="85">
        <f t="shared" ref="CQ7:CQ70" si="68">CP7*(1-CQ$4)</f>
        <v>4983.4440000000004</v>
      </c>
      <c r="CR7" s="85">
        <f t="shared" ref="CR7:CR70" si="69">CP7*(1+CQ$4)</f>
        <v>6090.8760000000002</v>
      </c>
      <c r="CS7" s="295">
        <f t="shared" ref="CS7:CS70" si="70">CF7*S$3</f>
        <v>5537.1590861305804</v>
      </c>
      <c r="CT7" s="295">
        <f t="shared" ref="CT7:CT70" si="71">MIN(MAX(CS7,CQ7),CR7)</f>
        <v>5537.1590861305804</v>
      </c>
      <c r="CU7" s="303"/>
      <c r="CV7" s="303"/>
    </row>
    <row r="8" spans="1:155" s="153" customFormat="1" ht="15" customHeight="1" x14ac:dyDescent="0.3">
      <c r="A8" s="174">
        <v>60004</v>
      </c>
      <c r="B8" s="176" t="s">
        <v>270</v>
      </c>
      <c r="C8" s="175">
        <f>VLOOKUP($A8,'Fed Bs Rt+IME+GME+VBP+RAA+HAC'!$B$5:$AC$88,15,FALSE)</f>
        <v>6521.7222690000008</v>
      </c>
      <c r="D8" s="175">
        <f>VLOOKUP($A8,'Fed Bs Rt+IME+GME+VBP+RAA+HAC'!$B$5:$AC$88,21,FALSE)</f>
        <v>0</v>
      </c>
      <c r="E8" s="175">
        <f>VLOOKUP($A8,'Fed Bs Rt+IME+GME+VBP+RAA+HAC'!$B$5:$AC$88,25,FALSE)</f>
        <v>-45.411379559999659</v>
      </c>
      <c r="F8" s="175">
        <f>VLOOKUP($A8,'Fed Bs Rt+IME+GME+VBP+RAA+HAC'!$B$5:$AC$88,23,FALSE)</f>
        <v>94.516217990879341</v>
      </c>
      <c r="G8" s="175">
        <f>VLOOKUP($A8,'Fed Bs Rt+IME+GME+VBP+RAA+HAC'!$B$5:$AC$88,28,FALSE)</f>
        <v>0</v>
      </c>
      <c r="H8" s="175">
        <f t="shared" si="35"/>
        <v>49.104838430879681</v>
      </c>
      <c r="I8" s="175">
        <f>VLOOKUP($A8,'Fed Bs Rt+IME+GME+VBP+RAA+HAC'!$B$5:$AC$88,16,FALSE)</f>
        <v>0</v>
      </c>
      <c r="J8" s="175">
        <f t="shared" si="36"/>
        <v>0</v>
      </c>
      <c r="K8" s="175">
        <f t="shared" si="0"/>
        <v>0</v>
      </c>
      <c r="L8" s="294">
        <f>IF(OR(J8&gt;0,K8&gt;0,M8&gt;0),0,IF(VLOOKUP(A8,'Low Discharge'!A:C,3,FALSE)&lt;=L$3,L$1*C8,IF(VLOOKUP(A8,'Low Discharge'!A:C,3,FALSE)&gt;=L$2,0,(VLOOKUP(A8,'Low Discharge'!A:C,3,FALSE)-L$2)/(L$3-L$2)*L$1*C8)))</f>
        <v>0</v>
      </c>
      <c r="M8" s="170">
        <f>IF(VLOOKUP($A8,Characteristics!$A:$E,3,FALSE)=2,M$1*C8,0)</f>
        <v>0</v>
      </c>
      <c r="N8" s="170">
        <f>IF(VLOOKUP($A8,Characteristics!$A:$E,5,FALSE)&gt;=N$2,N$1*C8,IF(VLOOKUP($A8,Characteristics!$A:$E,5,FALSE)&lt;=N$3,0,(VLOOKUP($A8,Characteristics!$A:$E,5,FALSE)-N$3)/(N$2-N$3)*N$1*C8))</f>
        <v>0</v>
      </c>
      <c r="O8" s="170">
        <f>IF(VLOOKUP($A8,Characteristics!$A:$F,6,FALSE)&lt;=O$3,O$1*C8,IF(VLOOKUP($A8,Characteristics!$A:$F,6,FALSE)&gt;=O$2,0,(VLOOKUP($A8,Characteristics!$A:$F,6,FALSE)-O$2)/(O$3-O$2)*O$1*C8))</f>
        <v>0</v>
      </c>
      <c r="P8" s="175">
        <f t="shared" si="1"/>
        <v>6570.8271074308805</v>
      </c>
      <c r="Q8" s="175"/>
      <c r="R8" s="85">
        <v>5737.84</v>
      </c>
      <c r="S8" s="86">
        <f t="shared" si="37"/>
        <v>5881.2860000000001</v>
      </c>
      <c r="T8" s="85">
        <f t="shared" si="2"/>
        <v>6454817.0573590826</v>
      </c>
      <c r="U8" s="88">
        <v>1075.8804</v>
      </c>
      <c r="V8" s="89">
        <v>1.020111498973306</v>
      </c>
      <c r="W8" s="90">
        <f t="shared" si="3"/>
        <v>7211600.8121356945</v>
      </c>
      <c r="X8" s="98" t="s">
        <v>5</v>
      </c>
      <c r="Y8" s="85">
        <f t="shared" si="38"/>
        <v>5881.2860000000001</v>
      </c>
      <c r="Z8" s="85">
        <f t="shared" si="39"/>
        <v>5293.1574000000001</v>
      </c>
      <c r="AA8" s="85">
        <f t="shared" si="40"/>
        <v>6469.414600000001</v>
      </c>
      <c r="AB8" s="230"/>
      <c r="AC8" s="100"/>
      <c r="AD8" s="85">
        <f t="shared" si="41"/>
        <v>5478.3202024443863</v>
      </c>
      <c r="AE8" s="85">
        <f t="shared" si="4"/>
        <v>6012554.8542296514</v>
      </c>
      <c r="AF8" s="92">
        <f t="shared" si="42"/>
        <v>0</v>
      </c>
      <c r="AG8" s="92">
        <f t="shared" si="43"/>
        <v>0</v>
      </c>
      <c r="AH8" s="85">
        <f t="shared" si="44"/>
        <v>5478.3202024443863</v>
      </c>
      <c r="AI8" s="85">
        <f t="shared" si="5"/>
        <v>6012554.8542296514</v>
      </c>
      <c r="AJ8" s="93">
        <f t="shared" si="6"/>
        <v>7211600.8121356945</v>
      </c>
      <c r="AK8" s="93">
        <f t="shared" si="7"/>
        <v>6454817.0573590826</v>
      </c>
      <c r="AL8" s="94">
        <f t="shared" si="45"/>
        <v>0</v>
      </c>
      <c r="AM8" s="95"/>
      <c r="AN8" s="85">
        <f t="shared" si="46"/>
        <v>5461.55701389552</v>
      </c>
      <c r="AO8" s="85">
        <f t="shared" si="8"/>
        <v>5994156.9536036737</v>
      </c>
      <c r="AP8" s="92">
        <f t="shared" si="47"/>
        <v>0</v>
      </c>
      <c r="AQ8" s="92">
        <f t="shared" si="48"/>
        <v>0</v>
      </c>
      <c r="AR8" s="85">
        <f t="shared" si="49"/>
        <v>5461.55701389552</v>
      </c>
      <c r="AS8" s="85">
        <f t="shared" si="9"/>
        <v>5994156.9536036737</v>
      </c>
      <c r="AT8" s="93">
        <f t="shared" si="10"/>
        <v>7211600.8121356945</v>
      </c>
      <c r="AU8" s="93">
        <f t="shared" si="11"/>
        <v>6454817.0573590826</v>
      </c>
      <c r="AV8" s="94">
        <f t="shared" si="12"/>
        <v>0</v>
      </c>
      <c r="AW8" s="92">
        <f t="shared" si="13"/>
        <v>0</v>
      </c>
      <c r="AX8" s="95"/>
      <c r="AY8" s="85">
        <f t="shared" si="50"/>
        <v>5471.1532989536527</v>
      </c>
      <c r="AZ8" s="85">
        <f t="shared" si="14"/>
        <v>6004689.0488768024</v>
      </c>
      <c r="BA8" s="92">
        <f t="shared" si="51"/>
        <v>0</v>
      </c>
      <c r="BB8" s="92">
        <f t="shared" si="52"/>
        <v>0</v>
      </c>
      <c r="BC8" s="85">
        <f t="shared" si="53"/>
        <v>5471.1532989536527</v>
      </c>
      <c r="BD8" s="85">
        <f t="shared" si="15"/>
        <v>6004689.0488768024</v>
      </c>
      <c r="BE8" s="96">
        <f t="shared" si="16"/>
        <v>7211600.8121356945</v>
      </c>
      <c r="BF8" s="96">
        <f t="shared" si="17"/>
        <v>6454817.0573590826</v>
      </c>
      <c r="BG8" s="94">
        <f t="shared" si="18"/>
        <v>0</v>
      </c>
      <c r="BH8" s="92">
        <f t="shared" si="19"/>
        <v>0</v>
      </c>
      <c r="BI8" s="95"/>
      <c r="BJ8" s="85">
        <f t="shared" si="54"/>
        <v>5471.1532989536527</v>
      </c>
      <c r="BK8" s="85">
        <f t="shared" si="20"/>
        <v>6004689.0488768024</v>
      </c>
      <c r="BL8" s="92">
        <f t="shared" si="55"/>
        <v>0</v>
      </c>
      <c r="BM8" s="92">
        <f t="shared" si="56"/>
        <v>0</v>
      </c>
      <c r="BN8" s="85">
        <f t="shared" si="57"/>
        <v>5471.1532989536527</v>
      </c>
      <c r="BO8" s="85">
        <f t="shared" si="21"/>
        <v>6004689.0488768024</v>
      </c>
      <c r="BP8" s="93">
        <f t="shared" si="22"/>
        <v>7211600.8121356945</v>
      </c>
      <c r="BQ8" s="93">
        <f t="shared" si="23"/>
        <v>6454817.0573590826</v>
      </c>
      <c r="BR8" s="94">
        <f t="shared" si="24"/>
        <v>0</v>
      </c>
      <c r="BS8" s="92">
        <f t="shared" si="25"/>
        <v>0</v>
      </c>
      <c r="BT8" s="95"/>
      <c r="BU8" s="85">
        <f t="shared" si="58"/>
        <v>5471.1532989536527</v>
      </c>
      <c r="BV8" s="85">
        <f t="shared" si="26"/>
        <v>6004689.0488768024</v>
      </c>
      <c r="BW8" s="92">
        <f t="shared" si="59"/>
        <v>0</v>
      </c>
      <c r="BX8" s="92">
        <f t="shared" si="60"/>
        <v>0</v>
      </c>
      <c r="BY8" s="85">
        <f t="shared" si="61"/>
        <v>5471.1532989536527</v>
      </c>
      <c r="BZ8" s="85">
        <f t="shared" si="27"/>
        <v>6004689.0488768024</v>
      </c>
      <c r="CA8" s="96">
        <f t="shared" si="28"/>
        <v>7211600.8121356945</v>
      </c>
      <c r="CB8" s="96">
        <f t="shared" si="29"/>
        <v>6454817.0573590826</v>
      </c>
      <c r="CC8" s="94">
        <f t="shared" si="30"/>
        <v>0</v>
      </c>
      <c r="CD8" s="92">
        <f t="shared" si="31"/>
        <v>0</v>
      </c>
      <c r="CE8" s="66"/>
      <c r="CF8" s="85">
        <f t="shared" si="62"/>
        <v>5471.1532989536527</v>
      </c>
      <c r="CG8" s="85">
        <f t="shared" si="32"/>
        <v>6004689.0488768024</v>
      </c>
      <c r="CH8" s="92">
        <f t="shared" si="63"/>
        <v>0</v>
      </c>
      <c r="CI8" s="92">
        <f t="shared" si="64"/>
        <v>0</v>
      </c>
      <c r="CJ8" s="85">
        <f t="shared" si="65"/>
        <v>5471.1532989536527</v>
      </c>
      <c r="CK8" s="85">
        <f t="shared" si="33"/>
        <v>6004689.0488768024</v>
      </c>
      <c r="CL8" s="97">
        <f t="shared" si="34"/>
        <v>0.93026479225013925</v>
      </c>
      <c r="CM8" s="261"/>
      <c r="CN8" s="295">
        <f t="shared" si="66"/>
        <v>5580.58</v>
      </c>
      <c r="CP8" s="85">
        <f t="shared" si="67"/>
        <v>5580.58</v>
      </c>
      <c r="CQ8" s="85">
        <f t="shared" si="68"/>
        <v>5022.5219999999999</v>
      </c>
      <c r="CR8" s="85">
        <f t="shared" si="69"/>
        <v>6138.6380000000008</v>
      </c>
      <c r="CS8" s="295">
        <f t="shared" si="70"/>
        <v>5580.5763649327255</v>
      </c>
      <c r="CT8" s="295">
        <f t="shared" si="71"/>
        <v>5580.5763649327255</v>
      </c>
      <c r="CU8" s="303"/>
      <c r="CV8" s="303"/>
    </row>
    <row r="9" spans="1:155" s="153" customFormat="1" ht="15" customHeight="1" x14ac:dyDescent="0.3">
      <c r="A9" s="174">
        <v>60006</v>
      </c>
      <c r="B9" s="176" t="s">
        <v>271</v>
      </c>
      <c r="C9" s="175">
        <f>VLOOKUP($A9,'Fed Bs Rt+IME+GME+VBP+RAA+HAC'!$B$5:$AC$88,15,FALSE)</f>
        <v>6521.7222690000008</v>
      </c>
      <c r="D9" s="175">
        <f>VLOOKUP($A9,'Fed Bs Rt+IME+GME+VBP+RAA+HAC'!$B$5:$AC$88,21,FALSE)</f>
        <v>0</v>
      </c>
      <c r="E9" s="175">
        <f>VLOOKUP($A9,'Fed Bs Rt+IME+GME+VBP+RAA+HAC'!$B$5:$AC$88,25,FALSE)</f>
        <v>-0.60548506079976505</v>
      </c>
      <c r="F9" s="175">
        <f>VLOOKUP($A9,'Fed Bs Rt+IME+GME+VBP+RAA+HAC'!$B$5:$AC$88,23,FALSE)</f>
        <v>102.93246033599917</v>
      </c>
      <c r="G9" s="175">
        <f>VLOOKUP($A9,'Fed Bs Rt+IME+GME+VBP+RAA+HAC'!$B$5:$AC$88,28,FALSE)</f>
        <v>-65.217222690000014</v>
      </c>
      <c r="H9" s="175">
        <f t="shared" si="35"/>
        <v>37.109752585199388</v>
      </c>
      <c r="I9" s="175">
        <f>VLOOKUP($A9,'Fed Bs Rt+IME+GME+VBP+RAA+HAC'!$B$5:$AC$88,16,FALSE)</f>
        <v>0</v>
      </c>
      <c r="J9" s="175">
        <f t="shared" si="36"/>
        <v>0</v>
      </c>
      <c r="K9" s="175">
        <f t="shared" si="0"/>
        <v>1304.3444538000003</v>
      </c>
      <c r="L9" s="294">
        <f>IF(OR(J9&gt;0,K9&gt;0,M9&gt;0),0,IF(VLOOKUP(A9,'Low Discharge'!A:C,3,FALSE)&lt;=L$3,L$1*C9,IF(VLOOKUP(A9,'Low Discharge'!A:C,3,FALSE)&gt;=L$2,0,(VLOOKUP(A9,'Low Discharge'!A:C,3,FALSE)-L$2)/(L$3-L$2)*L$1*C9)))</f>
        <v>0</v>
      </c>
      <c r="M9" s="170">
        <f>IF(VLOOKUP($A9,Characteristics!$A:$E,3,FALSE)=2,M$1*C9,0)</f>
        <v>0</v>
      </c>
      <c r="N9" s="170">
        <f>IF(VLOOKUP($A9,Characteristics!$A:$E,5,FALSE)&gt;=N$2,N$1*C9,IF(VLOOKUP($A9,Characteristics!$A:$E,5,FALSE)&lt;=N$3,0,(VLOOKUP($A9,Characteristics!$A:$E,5,FALSE)-N$3)/(N$2-N$3)*N$1*C9))</f>
        <v>0</v>
      </c>
      <c r="O9" s="170">
        <f>IF(VLOOKUP($A9,Characteristics!$A:$F,6,FALSE)&lt;=O$3,O$1*C9,IF(VLOOKUP($A9,Characteristics!$A:$F,6,FALSE)&gt;=O$2,0,(VLOOKUP($A9,Characteristics!$A:$F,6,FALSE)-O$2)/(O$3-O$2)*O$1*C9))</f>
        <v>0</v>
      </c>
      <c r="P9" s="175">
        <f t="shared" si="1"/>
        <v>7863.1764753852003</v>
      </c>
      <c r="Q9" s="175"/>
      <c r="R9" s="85">
        <v>5705.34</v>
      </c>
      <c r="S9" s="86">
        <f t="shared" si="37"/>
        <v>5847.9735000000001</v>
      </c>
      <c r="T9" s="85">
        <f t="shared" si="2"/>
        <v>2265520.4951235647</v>
      </c>
      <c r="U9" s="88">
        <v>698.10720000000003</v>
      </c>
      <c r="V9" s="89">
        <v>0.55493291139240508</v>
      </c>
      <c r="W9" s="90">
        <f t="shared" si="3"/>
        <v>3046215.4901623009</v>
      </c>
      <c r="X9" s="98" t="s">
        <v>5</v>
      </c>
      <c r="Y9" s="85">
        <f t="shared" si="38"/>
        <v>5847.9735000000001</v>
      </c>
      <c r="Z9" s="85">
        <f t="shared" si="39"/>
        <v>5263.1761500000002</v>
      </c>
      <c r="AA9" s="85">
        <f t="shared" si="40"/>
        <v>6432.7708500000008</v>
      </c>
      <c r="AB9" s="230"/>
      <c r="AC9" s="101"/>
      <c r="AD9" s="85">
        <f t="shared" si="41"/>
        <v>6555.795463218451</v>
      </c>
      <c r="AE9" s="85">
        <f t="shared" si="4"/>
        <v>2539732.6071603242</v>
      </c>
      <c r="AF9" s="92">
        <f t="shared" si="42"/>
        <v>0</v>
      </c>
      <c r="AG9" s="92">
        <f t="shared" si="43"/>
        <v>1</v>
      </c>
      <c r="AH9" s="85">
        <f t="shared" si="44"/>
        <v>6432.7708500000008</v>
      </c>
      <c r="AI9" s="85">
        <f t="shared" si="5"/>
        <v>2492072.5446359213</v>
      </c>
      <c r="AJ9" s="93">
        <f t="shared" si="6"/>
        <v>3046215.4901623009</v>
      </c>
      <c r="AK9" s="93">
        <f t="shared" si="7"/>
        <v>2265520.4951235647</v>
      </c>
      <c r="AL9" s="94">
        <f t="shared" si="45"/>
        <v>0</v>
      </c>
      <c r="AM9" s="95"/>
      <c r="AN9" s="85">
        <f t="shared" si="46"/>
        <v>6535.7352930610559</v>
      </c>
      <c r="AO9" s="85">
        <f t="shared" si="8"/>
        <v>2531961.2438620389</v>
      </c>
      <c r="AP9" s="92">
        <f t="shared" si="47"/>
        <v>0</v>
      </c>
      <c r="AQ9" s="92">
        <f t="shared" si="48"/>
        <v>1</v>
      </c>
      <c r="AR9" s="85">
        <f t="shared" si="49"/>
        <v>6432.7708500000008</v>
      </c>
      <c r="AS9" s="85">
        <f t="shared" si="9"/>
        <v>2492072.5446359213</v>
      </c>
      <c r="AT9" s="93">
        <f t="shared" si="10"/>
        <v>0</v>
      </c>
      <c r="AU9" s="93">
        <f t="shared" si="11"/>
        <v>-226552.04951235652</v>
      </c>
      <c r="AV9" s="94">
        <f t="shared" si="12"/>
        <v>1</v>
      </c>
      <c r="AW9" s="92">
        <f t="shared" si="13"/>
        <v>1</v>
      </c>
      <c r="AX9" s="95"/>
      <c r="AY9" s="85">
        <f t="shared" si="50"/>
        <v>6432.7708500000008</v>
      </c>
      <c r="AZ9" s="85">
        <f t="shared" si="14"/>
        <v>2492072.5446359213</v>
      </c>
      <c r="BA9" s="92">
        <f t="shared" si="51"/>
        <v>0</v>
      </c>
      <c r="BB9" s="92">
        <f t="shared" si="52"/>
        <v>1</v>
      </c>
      <c r="BC9" s="85">
        <f t="shared" si="53"/>
        <v>6432.7708500000008</v>
      </c>
      <c r="BD9" s="85">
        <f t="shared" si="15"/>
        <v>2492072.5446359213</v>
      </c>
      <c r="BE9" s="96">
        <f t="shared" si="16"/>
        <v>0</v>
      </c>
      <c r="BF9" s="96">
        <f t="shared" si="17"/>
        <v>-226552.04951235652</v>
      </c>
      <c r="BG9" s="94">
        <f t="shared" si="18"/>
        <v>1</v>
      </c>
      <c r="BH9" s="92">
        <f t="shared" si="19"/>
        <v>0</v>
      </c>
      <c r="BI9" s="95"/>
      <c r="BJ9" s="85">
        <f t="shared" si="54"/>
        <v>6432.7708500000008</v>
      </c>
      <c r="BK9" s="85">
        <f t="shared" si="20"/>
        <v>2492072.5446359213</v>
      </c>
      <c r="BL9" s="92">
        <f t="shared" si="55"/>
        <v>0</v>
      </c>
      <c r="BM9" s="92">
        <f t="shared" si="56"/>
        <v>1</v>
      </c>
      <c r="BN9" s="85">
        <f t="shared" si="57"/>
        <v>6432.7708500000008</v>
      </c>
      <c r="BO9" s="85">
        <f t="shared" si="21"/>
        <v>2492072.5446359213</v>
      </c>
      <c r="BP9" s="93">
        <f t="shared" si="22"/>
        <v>0</v>
      </c>
      <c r="BQ9" s="93">
        <f t="shared" si="23"/>
        <v>-226552.04951235652</v>
      </c>
      <c r="BR9" s="94">
        <f t="shared" si="24"/>
        <v>1</v>
      </c>
      <c r="BS9" s="92">
        <f t="shared" si="25"/>
        <v>0</v>
      </c>
      <c r="BT9" s="95"/>
      <c r="BU9" s="85">
        <f t="shared" si="58"/>
        <v>6432.7708500000008</v>
      </c>
      <c r="BV9" s="85">
        <f t="shared" si="26"/>
        <v>2492072.5446359213</v>
      </c>
      <c r="BW9" s="92">
        <f t="shared" si="59"/>
        <v>0</v>
      </c>
      <c r="BX9" s="92">
        <f t="shared" si="60"/>
        <v>1</v>
      </c>
      <c r="BY9" s="85">
        <f t="shared" si="61"/>
        <v>6432.7708500000008</v>
      </c>
      <c r="BZ9" s="85">
        <f t="shared" si="27"/>
        <v>2492072.5446359213</v>
      </c>
      <c r="CA9" s="96">
        <f t="shared" si="28"/>
        <v>0</v>
      </c>
      <c r="CB9" s="96">
        <f t="shared" si="29"/>
        <v>-226552.04951235652</v>
      </c>
      <c r="CC9" s="94">
        <f t="shared" si="30"/>
        <v>1</v>
      </c>
      <c r="CD9" s="92">
        <f t="shared" si="31"/>
        <v>0</v>
      </c>
      <c r="CE9" s="66"/>
      <c r="CF9" s="85">
        <f t="shared" si="62"/>
        <v>6547.2189741390239</v>
      </c>
      <c r="CG9" s="85">
        <f t="shared" si="32"/>
        <v>2536410.0524692596</v>
      </c>
      <c r="CH9" s="92">
        <f t="shared" si="63"/>
        <v>0</v>
      </c>
      <c r="CI9" s="92">
        <f t="shared" si="64"/>
        <v>1</v>
      </c>
      <c r="CJ9" s="85">
        <f t="shared" si="65"/>
        <v>6432.7708500000008</v>
      </c>
      <c r="CK9" s="85">
        <f t="shared" si="33"/>
        <v>2492072.5446359213</v>
      </c>
      <c r="CL9" s="97">
        <f t="shared" si="34"/>
        <v>1.1000000000000001</v>
      </c>
      <c r="CM9" s="261"/>
      <c r="CN9" s="295">
        <f t="shared" si="66"/>
        <v>6561.43</v>
      </c>
      <c r="CP9" s="85">
        <f t="shared" si="67"/>
        <v>6561.43</v>
      </c>
      <c r="CQ9" s="85">
        <f t="shared" si="68"/>
        <v>5905.2870000000003</v>
      </c>
      <c r="CR9" s="85">
        <f t="shared" si="69"/>
        <v>7217.5730000000012</v>
      </c>
      <c r="CS9" s="295">
        <f t="shared" si="70"/>
        <v>6678.1633536218042</v>
      </c>
      <c r="CT9" s="295">
        <f t="shared" si="71"/>
        <v>6678.1633536218042</v>
      </c>
      <c r="CU9" s="303"/>
      <c r="CV9" s="303"/>
    </row>
    <row r="10" spans="1:155" s="153" customFormat="1" ht="15" customHeight="1" x14ac:dyDescent="0.3">
      <c r="A10" s="174">
        <v>60008</v>
      </c>
      <c r="B10" s="176" t="s">
        <v>271</v>
      </c>
      <c r="C10" s="175">
        <f>VLOOKUP($A10,'Fed Bs Rt+IME+GME+VBP+RAA+HAC'!$B$5:$AC$88,15,FALSE)</f>
        <v>6521.7222690000008</v>
      </c>
      <c r="D10" s="175">
        <f>VLOOKUP($A10,'Fed Bs Rt+IME+GME+VBP+RAA+HAC'!$B$5:$AC$88,21,FALSE)</f>
        <v>0</v>
      </c>
      <c r="E10" s="175">
        <f>VLOOKUP($A10,'Fed Bs Rt+IME+GME+VBP+RAA+HAC'!$B$5:$AC$88,25,FALSE)</f>
        <v>-50.255260046399599</v>
      </c>
      <c r="F10" s="175">
        <f>VLOOKUP($A10,'Fed Bs Rt+IME+GME+VBP+RAA+HAC'!$B$5:$AC$88,23,FALSE)</f>
        <v>-20.102104018559938</v>
      </c>
      <c r="G10" s="175">
        <f>VLOOKUP($A10,'Fed Bs Rt+IME+GME+VBP+RAA+HAC'!$B$5:$AC$88,28,FALSE)</f>
        <v>-65.217222690000014</v>
      </c>
      <c r="H10" s="175">
        <f t="shared" si="35"/>
        <v>-135.57458675495957</v>
      </c>
      <c r="I10" s="175">
        <f>VLOOKUP($A10,'Fed Bs Rt+IME+GME+VBP+RAA+HAC'!$B$5:$AC$88,16,FALSE)</f>
        <v>0</v>
      </c>
      <c r="J10" s="175">
        <f t="shared" si="36"/>
        <v>0</v>
      </c>
      <c r="K10" s="175">
        <f t="shared" si="0"/>
        <v>1304.3444538000003</v>
      </c>
      <c r="L10" s="294">
        <f>IF(OR(J10&gt;0,K10&gt;0,M10&gt;0),0,IF(VLOOKUP(A10,'Low Discharge'!A:C,3,FALSE)&lt;=L$3,L$1*C10,IF(VLOOKUP(A10,'Low Discharge'!A:C,3,FALSE)&gt;=L$2,0,(VLOOKUP(A10,'Low Discharge'!A:C,3,FALSE)-L$2)/(L$3-L$2)*L$1*C10)))</f>
        <v>0</v>
      </c>
      <c r="M10" s="170">
        <f>IF(VLOOKUP($A10,Characteristics!$A:$E,3,FALSE)=2,M$1*C10,0)</f>
        <v>0</v>
      </c>
      <c r="N10" s="170">
        <f>IF(VLOOKUP($A10,Characteristics!$A:$E,5,FALSE)&gt;=N$2,N$1*C10,IF(VLOOKUP($A10,Characteristics!$A:$E,5,FALSE)&lt;=N$3,0,(VLOOKUP($A10,Characteristics!$A:$E,5,FALSE)-N$3)/(N$2-N$3)*N$1*C10))</f>
        <v>0</v>
      </c>
      <c r="O10" s="170">
        <f>IF(VLOOKUP($A10,Characteristics!$A:$F,6,FALSE)&lt;=O$3,O$1*C10,IF(VLOOKUP($A10,Characteristics!$A:$F,6,FALSE)&gt;=O$2,0,(VLOOKUP($A10,Characteristics!$A:$F,6,FALSE)-O$2)/(O$3-O$2)*O$1*C10))</f>
        <v>552.41323571424994</v>
      </c>
      <c r="P10" s="175">
        <f t="shared" si="1"/>
        <v>8242.9053717592924</v>
      </c>
      <c r="Q10" s="175"/>
      <c r="R10" s="85">
        <v>5993.72</v>
      </c>
      <c r="S10" s="86">
        <f t="shared" si="37"/>
        <v>6143.5630000000001</v>
      </c>
      <c r="T10" s="85">
        <f t="shared" si="2"/>
        <v>2946177.8380125929</v>
      </c>
      <c r="U10" s="88">
        <v>632.93579999999997</v>
      </c>
      <c r="V10" s="89">
        <v>0.7576680628272251</v>
      </c>
      <c r="W10" s="90">
        <f t="shared" si="3"/>
        <v>3952928.4760508165</v>
      </c>
      <c r="X10" s="98" t="s">
        <v>5</v>
      </c>
      <c r="Y10" s="85">
        <f t="shared" si="38"/>
        <v>6143.5630000000001</v>
      </c>
      <c r="Z10" s="85">
        <f t="shared" si="39"/>
        <v>5529.2067000000006</v>
      </c>
      <c r="AA10" s="85">
        <f t="shared" si="40"/>
        <v>6757.9193000000005</v>
      </c>
      <c r="AB10" s="230"/>
      <c r="AC10" s="100"/>
      <c r="AD10" s="85">
        <f t="shared" si="41"/>
        <v>6872.3882529002158</v>
      </c>
      <c r="AE10" s="85">
        <f t="shared" si="4"/>
        <v>3295689.808163878</v>
      </c>
      <c r="AF10" s="92">
        <f t="shared" si="42"/>
        <v>0</v>
      </c>
      <c r="AG10" s="92">
        <f t="shared" si="43"/>
        <v>1</v>
      </c>
      <c r="AH10" s="85">
        <f t="shared" si="44"/>
        <v>6757.9193000000005</v>
      </c>
      <c r="AI10" s="85">
        <f t="shared" si="5"/>
        <v>3240795.6218138523</v>
      </c>
      <c r="AJ10" s="93">
        <f t="shared" si="6"/>
        <v>3952928.4760508165</v>
      </c>
      <c r="AK10" s="93">
        <f t="shared" si="7"/>
        <v>2946177.8380125929</v>
      </c>
      <c r="AL10" s="94">
        <f t="shared" si="45"/>
        <v>0</v>
      </c>
      <c r="AM10" s="95"/>
      <c r="AN10" s="85">
        <f t="shared" si="46"/>
        <v>6851.3593360411796</v>
      </c>
      <c r="AO10" s="85">
        <f t="shared" si="8"/>
        <v>3285605.2808614802</v>
      </c>
      <c r="AP10" s="92">
        <f t="shared" si="47"/>
        <v>0</v>
      </c>
      <c r="AQ10" s="92">
        <f t="shared" si="48"/>
        <v>1</v>
      </c>
      <c r="AR10" s="85">
        <f t="shared" si="49"/>
        <v>6757.9193000000005</v>
      </c>
      <c r="AS10" s="85">
        <f t="shared" si="9"/>
        <v>3240795.6218138523</v>
      </c>
      <c r="AT10" s="93">
        <f t="shared" si="10"/>
        <v>0</v>
      </c>
      <c r="AU10" s="93">
        <f t="shared" si="11"/>
        <v>-294617.78380125947</v>
      </c>
      <c r="AV10" s="94">
        <f t="shared" si="12"/>
        <v>1</v>
      </c>
      <c r="AW10" s="92">
        <f t="shared" si="13"/>
        <v>1</v>
      </c>
      <c r="AX10" s="95"/>
      <c r="AY10" s="85">
        <f t="shared" si="50"/>
        <v>6757.9193000000005</v>
      </c>
      <c r="AZ10" s="85">
        <f t="shared" si="14"/>
        <v>3240795.6218138523</v>
      </c>
      <c r="BA10" s="92">
        <f t="shared" si="51"/>
        <v>0</v>
      </c>
      <c r="BB10" s="92">
        <f t="shared" si="52"/>
        <v>1</v>
      </c>
      <c r="BC10" s="85">
        <f t="shared" si="53"/>
        <v>6757.9193000000005</v>
      </c>
      <c r="BD10" s="85">
        <f t="shared" si="15"/>
        <v>3240795.6218138523</v>
      </c>
      <c r="BE10" s="96">
        <f t="shared" si="16"/>
        <v>0</v>
      </c>
      <c r="BF10" s="96">
        <f t="shared" si="17"/>
        <v>-294617.78380125947</v>
      </c>
      <c r="BG10" s="94">
        <f t="shared" si="18"/>
        <v>1</v>
      </c>
      <c r="BH10" s="92">
        <f t="shared" si="19"/>
        <v>0</v>
      </c>
      <c r="BI10" s="95"/>
      <c r="BJ10" s="85">
        <f t="shared" si="54"/>
        <v>6757.9193000000005</v>
      </c>
      <c r="BK10" s="85">
        <f t="shared" si="20"/>
        <v>3240795.6218138523</v>
      </c>
      <c r="BL10" s="92">
        <f t="shared" si="55"/>
        <v>0</v>
      </c>
      <c r="BM10" s="92">
        <f t="shared" si="56"/>
        <v>1</v>
      </c>
      <c r="BN10" s="85">
        <f t="shared" si="57"/>
        <v>6757.9193000000005</v>
      </c>
      <c r="BO10" s="85">
        <f t="shared" si="21"/>
        <v>3240795.6218138523</v>
      </c>
      <c r="BP10" s="93">
        <f t="shared" si="22"/>
        <v>0</v>
      </c>
      <c r="BQ10" s="93">
        <f t="shared" si="23"/>
        <v>-294617.78380125947</v>
      </c>
      <c r="BR10" s="94">
        <f t="shared" si="24"/>
        <v>1</v>
      </c>
      <c r="BS10" s="92">
        <f t="shared" si="25"/>
        <v>0</v>
      </c>
      <c r="BT10" s="95"/>
      <c r="BU10" s="85">
        <f t="shared" si="58"/>
        <v>6757.9193000000005</v>
      </c>
      <c r="BV10" s="85">
        <f t="shared" si="26"/>
        <v>3240795.6218138523</v>
      </c>
      <c r="BW10" s="92">
        <f t="shared" si="59"/>
        <v>0</v>
      </c>
      <c r="BX10" s="92">
        <f t="shared" si="60"/>
        <v>1</v>
      </c>
      <c r="BY10" s="85">
        <f t="shared" si="61"/>
        <v>6757.9193000000005</v>
      </c>
      <c r="BZ10" s="85">
        <f t="shared" si="27"/>
        <v>3240795.6218138523</v>
      </c>
      <c r="CA10" s="96">
        <f t="shared" si="28"/>
        <v>0</v>
      </c>
      <c r="CB10" s="96">
        <f t="shared" si="29"/>
        <v>-294617.78380125947</v>
      </c>
      <c r="CC10" s="94">
        <f t="shared" si="30"/>
        <v>1</v>
      </c>
      <c r="CD10" s="92">
        <f t="shared" si="31"/>
        <v>0</v>
      </c>
      <c r="CE10" s="66"/>
      <c r="CF10" s="85">
        <f t="shared" si="62"/>
        <v>6863.3975875978467</v>
      </c>
      <c r="CG10" s="85">
        <f t="shared" si="32"/>
        <v>3291378.2874937346</v>
      </c>
      <c r="CH10" s="92">
        <f t="shared" si="63"/>
        <v>0</v>
      </c>
      <c r="CI10" s="92">
        <f t="shared" si="64"/>
        <v>1</v>
      </c>
      <c r="CJ10" s="85">
        <f t="shared" si="65"/>
        <v>6757.9193000000005</v>
      </c>
      <c r="CK10" s="85">
        <f t="shared" si="33"/>
        <v>3240795.6218138523</v>
      </c>
      <c r="CL10" s="97">
        <f t="shared" si="34"/>
        <v>1.1000000000000001</v>
      </c>
      <c r="CM10" s="261"/>
      <c r="CN10" s="295">
        <f t="shared" si="66"/>
        <v>6893.08</v>
      </c>
      <c r="CP10" s="85">
        <f t="shared" si="67"/>
        <v>6893.08</v>
      </c>
      <c r="CQ10" s="85">
        <f t="shared" si="68"/>
        <v>6203.7719999999999</v>
      </c>
      <c r="CR10" s="85">
        <f t="shared" si="69"/>
        <v>7582.3880000000008</v>
      </c>
      <c r="CS10" s="295">
        <f t="shared" si="70"/>
        <v>7000.665539349804</v>
      </c>
      <c r="CT10" s="295">
        <f t="shared" si="71"/>
        <v>7000.665539349804</v>
      </c>
      <c r="CU10" s="303"/>
      <c r="CV10" s="303"/>
    </row>
    <row r="11" spans="1:155" s="153" customFormat="1" ht="15" customHeight="1" x14ac:dyDescent="0.3">
      <c r="A11" s="174">
        <v>60009</v>
      </c>
      <c r="B11" s="176" t="s">
        <v>270</v>
      </c>
      <c r="C11" s="175">
        <f>VLOOKUP($A11,'Fed Bs Rt+IME+GME+VBP+RAA+HAC'!$B$5:$AC$88,15,FALSE)</f>
        <v>6521.7222690000008</v>
      </c>
      <c r="D11" s="175">
        <f>VLOOKUP($A11,'Fed Bs Rt+IME+GME+VBP+RAA+HAC'!$B$5:$AC$88,21,FALSE)</f>
        <v>0</v>
      </c>
      <c r="E11" s="175">
        <f>VLOOKUP($A11,'Fed Bs Rt+IME+GME+VBP+RAA+HAC'!$B$5:$AC$88,25,FALSE)</f>
        <v>-1.8164551824002046</v>
      </c>
      <c r="F11" s="175">
        <f>VLOOKUP($A11,'Fed Bs Rt+IME+GME+VBP+RAA+HAC'!$B$5:$AC$88,23,FALSE)</f>
        <v>-24.94598450496008</v>
      </c>
      <c r="G11" s="175">
        <f>VLOOKUP($A11,'Fed Bs Rt+IME+GME+VBP+RAA+HAC'!$B$5:$AC$88,28,FALSE)</f>
        <v>0</v>
      </c>
      <c r="H11" s="175">
        <f t="shared" si="35"/>
        <v>-26.762439687360285</v>
      </c>
      <c r="I11" s="175">
        <f>VLOOKUP($A11,'Fed Bs Rt+IME+GME+VBP+RAA+HAC'!$B$5:$AC$88,16,FALSE)</f>
        <v>0</v>
      </c>
      <c r="J11" s="175">
        <f t="shared" si="36"/>
        <v>0</v>
      </c>
      <c r="K11" s="175">
        <f t="shared" si="0"/>
        <v>0</v>
      </c>
      <c r="L11" s="294">
        <f>IF(OR(J11&gt;0,K11&gt;0,M11&gt;0),0,IF(VLOOKUP(A11,'Low Discharge'!A:C,3,FALSE)&lt;=L$3,L$1*C11,IF(VLOOKUP(A11,'Low Discharge'!A:C,3,FALSE)&gt;=L$2,0,(VLOOKUP(A11,'Low Discharge'!A:C,3,FALSE)-L$2)/(L$3-L$2)*L$1*C11)))</f>
        <v>0</v>
      </c>
      <c r="M11" s="170">
        <f>IF(VLOOKUP($A11,Characteristics!$A:$E,3,FALSE)=2,M$1*C11,0)</f>
        <v>0</v>
      </c>
      <c r="N11" s="170">
        <f>IF(VLOOKUP($A11,Characteristics!$A:$E,5,FALSE)&gt;=N$2,N$1*C11,IF(VLOOKUP($A11,Characteristics!$A:$E,5,FALSE)&lt;=N$3,0,(VLOOKUP($A11,Characteristics!$A:$E,5,FALSE)-N$3)/(N$2-N$3)*N$1*C11))</f>
        <v>0</v>
      </c>
      <c r="O11" s="170">
        <f>IF(VLOOKUP($A11,Characteristics!$A:$F,6,FALSE)&lt;=O$3,O$1*C11,IF(VLOOKUP($A11,Characteristics!$A:$F,6,FALSE)&gt;=O$2,0,(VLOOKUP($A11,Characteristics!$A:$F,6,FALSE)-O$2)/(O$3-O$2)*O$1*C11))</f>
        <v>0</v>
      </c>
      <c r="P11" s="175">
        <f t="shared" si="1"/>
        <v>6494.9598293126401</v>
      </c>
      <c r="Q11" s="175"/>
      <c r="R11" s="85">
        <v>5412</v>
      </c>
      <c r="S11" s="86">
        <f t="shared" si="37"/>
        <v>5547.2999999999993</v>
      </c>
      <c r="T11" s="85">
        <f t="shared" si="2"/>
        <v>21543756.912591599</v>
      </c>
      <c r="U11" s="88">
        <v>2744.9309999999996</v>
      </c>
      <c r="V11" s="89">
        <v>1.4148433400402414</v>
      </c>
      <c r="W11" s="90">
        <f t="shared" si="3"/>
        <v>25224133.491925616</v>
      </c>
      <c r="X11" s="98"/>
      <c r="Y11" s="85">
        <f t="shared" si="38"/>
        <v>5547.2999999999993</v>
      </c>
      <c r="Z11" s="85">
        <f t="shared" si="39"/>
        <v>4992.57</v>
      </c>
      <c r="AA11" s="85">
        <f t="shared" si="40"/>
        <v>6102.03</v>
      </c>
      <c r="AB11" s="230"/>
      <c r="AC11" s="101"/>
      <c r="AD11" s="85">
        <f t="shared" si="41"/>
        <v>5415.0670935702237</v>
      </c>
      <c r="AE11" s="85">
        <f t="shared" si="4"/>
        <v>21030210.936717108</v>
      </c>
      <c r="AF11" s="92">
        <f t="shared" si="42"/>
        <v>0</v>
      </c>
      <c r="AG11" s="92">
        <f t="shared" si="43"/>
        <v>0</v>
      </c>
      <c r="AH11" s="85">
        <f t="shared" si="44"/>
        <v>5415.0670935702237</v>
      </c>
      <c r="AI11" s="85">
        <f t="shared" si="5"/>
        <v>21030210.936717108</v>
      </c>
      <c r="AJ11" s="93">
        <f t="shared" si="6"/>
        <v>25224133.491925616</v>
      </c>
      <c r="AK11" s="93">
        <f t="shared" si="7"/>
        <v>21543756.912591599</v>
      </c>
      <c r="AL11" s="94">
        <f t="shared" si="45"/>
        <v>0</v>
      </c>
      <c r="AM11" s="95"/>
      <c r="AN11" s="85">
        <f t="shared" si="46"/>
        <v>5398.4974540931853</v>
      </c>
      <c r="AO11" s="85">
        <f t="shared" si="8"/>
        <v>20965860.300367426</v>
      </c>
      <c r="AP11" s="92">
        <f t="shared" si="47"/>
        <v>0</v>
      </c>
      <c r="AQ11" s="92">
        <f t="shared" si="48"/>
        <v>0</v>
      </c>
      <c r="AR11" s="85">
        <f t="shared" si="49"/>
        <v>5398.4974540931853</v>
      </c>
      <c r="AS11" s="85">
        <f t="shared" si="9"/>
        <v>20965860.300367426</v>
      </c>
      <c r="AT11" s="93">
        <f t="shared" si="10"/>
        <v>25224133.491925616</v>
      </c>
      <c r="AU11" s="93">
        <f t="shared" si="11"/>
        <v>21543756.912591599</v>
      </c>
      <c r="AV11" s="94">
        <f t="shared" si="12"/>
        <v>0</v>
      </c>
      <c r="AW11" s="92">
        <f t="shared" si="13"/>
        <v>0</v>
      </c>
      <c r="AX11" s="95"/>
      <c r="AY11" s="85">
        <f t="shared" si="50"/>
        <v>5407.9829397016447</v>
      </c>
      <c r="AZ11" s="85">
        <f t="shared" si="14"/>
        <v>21002698.581359357</v>
      </c>
      <c r="BA11" s="92">
        <f t="shared" si="51"/>
        <v>0</v>
      </c>
      <c r="BB11" s="92">
        <f t="shared" si="52"/>
        <v>0</v>
      </c>
      <c r="BC11" s="85">
        <f t="shared" si="53"/>
        <v>5407.9829397016447</v>
      </c>
      <c r="BD11" s="85">
        <f t="shared" si="15"/>
        <v>21002698.581359357</v>
      </c>
      <c r="BE11" s="96">
        <f t="shared" si="16"/>
        <v>25224133.491925616</v>
      </c>
      <c r="BF11" s="96">
        <f t="shared" si="17"/>
        <v>21543756.912591599</v>
      </c>
      <c r="BG11" s="94">
        <f t="shared" si="18"/>
        <v>0</v>
      </c>
      <c r="BH11" s="92">
        <f t="shared" si="19"/>
        <v>0</v>
      </c>
      <c r="BI11" s="95"/>
      <c r="BJ11" s="85">
        <f t="shared" si="54"/>
        <v>5407.9829397016447</v>
      </c>
      <c r="BK11" s="85">
        <f t="shared" si="20"/>
        <v>21002698.581359357</v>
      </c>
      <c r="BL11" s="92">
        <f t="shared" si="55"/>
        <v>0</v>
      </c>
      <c r="BM11" s="92">
        <f t="shared" si="56"/>
        <v>0</v>
      </c>
      <c r="BN11" s="85">
        <f t="shared" si="57"/>
        <v>5407.9829397016447</v>
      </c>
      <c r="BO11" s="85">
        <f t="shared" si="21"/>
        <v>21002698.581359357</v>
      </c>
      <c r="BP11" s="93">
        <f t="shared" si="22"/>
        <v>25224133.491925616</v>
      </c>
      <c r="BQ11" s="93">
        <f t="shared" si="23"/>
        <v>21543756.912591599</v>
      </c>
      <c r="BR11" s="94">
        <f t="shared" si="24"/>
        <v>0</v>
      </c>
      <c r="BS11" s="92">
        <f t="shared" si="25"/>
        <v>0</v>
      </c>
      <c r="BT11" s="95"/>
      <c r="BU11" s="85">
        <f t="shared" si="58"/>
        <v>5407.9829397016447</v>
      </c>
      <c r="BV11" s="85">
        <f t="shared" si="26"/>
        <v>21002698.581359357</v>
      </c>
      <c r="BW11" s="92">
        <f t="shared" si="59"/>
        <v>0</v>
      </c>
      <c r="BX11" s="92">
        <f t="shared" si="60"/>
        <v>0</v>
      </c>
      <c r="BY11" s="85">
        <f t="shared" si="61"/>
        <v>5407.9829397016447</v>
      </c>
      <c r="BZ11" s="85">
        <f t="shared" si="27"/>
        <v>21002698.581359357</v>
      </c>
      <c r="CA11" s="96">
        <f t="shared" si="28"/>
        <v>25224133.491925616</v>
      </c>
      <c r="CB11" s="96">
        <f t="shared" si="29"/>
        <v>21543756.912591599</v>
      </c>
      <c r="CC11" s="94">
        <f t="shared" si="30"/>
        <v>0</v>
      </c>
      <c r="CD11" s="92">
        <f t="shared" si="31"/>
        <v>0</v>
      </c>
      <c r="CE11" s="66"/>
      <c r="CF11" s="85">
        <f t="shared" si="62"/>
        <v>5407.9829397016447</v>
      </c>
      <c r="CG11" s="85">
        <f t="shared" si="32"/>
        <v>21002698.581359357</v>
      </c>
      <c r="CH11" s="92">
        <f t="shared" si="63"/>
        <v>0</v>
      </c>
      <c r="CI11" s="92">
        <f t="shared" si="64"/>
        <v>0</v>
      </c>
      <c r="CJ11" s="85">
        <f t="shared" si="65"/>
        <v>5407.9829397016447</v>
      </c>
      <c r="CK11" s="85">
        <f t="shared" si="33"/>
        <v>21002698.581359357</v>
      </c>
      <c r="CL11" s="97">
        <f t="shared" si="34"/>
        <v>0.97488560916151012</v>
      </c>
      <c r="CM11" s="261"/>
      <c r="CN11" s="295">
        <f t="shared" si="66"/>
        <v>5516.14</v>
      </c>
      <c r="CP11" s="85">
        <f t="shared" si="67"/>
        <v>5516.14</v>
      </c>
      <c r="CQ11" s="85">
        <f t="shared" si="68"/>
        <v>4964.5260000000007</v>
      </c>
      <c r="CR11" s="85">
        <f t="shared" si="69"/>
        <v>6067.7540000000008</v>
      </c>
      <c r="CS11" s="295">
        <f t="shared" si="70"/>
        <v>5516.1425984956777</v>
      </c>
      <c r="CT11" s="295">
        <f t="shared" si="71"/>
        <v>5516.1425984956777</v>
      </c>
      <c r="CU11" s="303"/>
      <c r="CV11" s="303"/>
    </row>
    <row r="12" spans="1:155" s="153" customFormat="1" ht="15" customHeight="1" x14ac:dyDescent="0.3">
      <c r="A12" s="174">
        <v>60010</v>
      </c>
      <c r="B12" s="176" t="s">
        <v>270</v>
      </c>
      <c r="C12" s="175">
        <f>VLOOKUP($A12,'Fed Bs Rt+IME+GME+VBP+RAA+HAC'!$B$5:$AC$88,15,FALSE)</f>
        <v>6521.7222690000008</v>
      </c>
      <c r="D12" s="175">
        <f>VLOOKUP($A12,'Fed Bs Rt+IME+GME+VBP+RAA+HAC'!$B$5:$AC$88,21,FALSE)</f>
        <v>251.10660993270002</v>
      </c>
      <c r="E12" s="175">
        <f>VLOOKUP($A12,'Fed Bs Rt+IME+GME+VBP+RAA+HAC'!$B$5:$AC$88,25,FALSE)</f>
        <v>-6.660335668800144</v>
      </c>
      <c r="F12" s="175">
        <f>VLOOKUP($A12,'Fed Bs Rt+IME+GME+VBP+RAA+HAC'!$B$5:$AC$88,23,FALSE)</f>
        <v>51.768972698399921</v>
      </c>
      <c r="G12" s="175">
        <f>VLOOKUP($A12,'Fed Bs Rt+IME+GME+VBP+RAA+HAC'!$B$5:$AC$88,28,FALSE)</f>
        <v>0</v>
      </c>
      <c r="H12" s="175">
        <f t="shared" si="35"/>
        <v>296.21524696229983</v>
      </c>
      <c r="I12" s="175">
        <f>VLOOKUP($A12,'Fed Bs Rt+IME+GME+VBP+RAA+HAC'!$B$5:$AC$88,16,FALSE)</f>
        <v>41.008915137174696</v>
      </c>
      <c r="J12" s="175">
        <f t="shared" si="36"/>
        <v>0</v>
      </c>
      <c r="K12" s="175">
        <f t="shared" si="0"/>
        <v>0</v>
      </c>
      <c r="L12" s="294">
        <f>IF(OR(J12&gt;0,K12&gt;0,M12&gt;0),0,IF(VLOOKUP(A12,'Low Discharge'!A:C,3,FALSE)&lt;=L$3,L$1*C12,IF(VLOOKUP(A12,'Low Discharge'!A:C,3,FALSE)&gt;=L$2,0,(VLOOKUP(A12,'Low Discharge'!A:C,3,FALSE)-L$2)/(L$3-L$2)*L$1*C12)))</f>
        <v>0</v>
      </c>
      <c r="M12" s="170">
        <f>IF(VLOOKUP($A12,Characteristics!$A:$E,3,FALSE)=2,M$1*C12,0)</f>
        <v>0</v>
      </c>
      <c r="N12" s="170">
        <f>IF(VLOOKUP($A12,Characteristics!$A:$E,5,FALSE)&gt;=N$2,N$1*C12,IF(VLOOKUP($A12,Characteristics!$A:$E,5,FALSE)&lt;=N$3,0,(VLOOKUP($A12,Characteristics!$A:$E,5,FALSE)-N$3)/(N$2-N$3)*N$1*C12))</f>
        <v>0</v>
      </c>
      <c r="O12" s="170">
        <f>IF(VLOOKUP($A12,Characteristics!$A:$F,6,FALSE)&lt;=O$3,O$1*C12,IF(VLOOKUP($A12,Characteristics!$A:$F,6,FALSE)&gt;=O$2,0,(VLOOKUP($A12,Characteristics!$A:$F,6,FALSE)-O$2)/(O$3-O$2)*O$1*C12))</f>
        <v>0</v>
      </c>
      <c r="P12" s="175">
        <f t="shared" si="1"/>
        <v>6858.9464310994754</v>
      </c>
      <c r="Q12" s="175"/>
      <c r="R12" s="85">
        <v>5707.2</v>
      </c>
      <c r="S12" s="86">
        <f t="shared" si="37"/>
        <v>5849.8799999999992</v>
      </c>
      <c r="T12" s="85">
        <f t="shared" si="2"/>
        <v>15801053.534613091</v>
      </c>
      <c r="U12" s="88">
        <v>2115.3089999999997</v>
      </c>
      <c r="V12" s="89">
        <v>1.2769246475195823</v>
      </c>
      <c r="W12" s="90">
        <f t="shared" si="3"/>
        <v>18526632.982017789</v>
      </c>
      <c r="X12" s="98" t="s">
        <v>5</v>
      </c>
      <c r="Y12" s="85">
        <f t="shared" si="38"/>
        <v>5849.8799999999992</v>
      </c>
      <c r="Z12" s="85">
        <f t="shared" si="39"/>
        <v>5264.8919999999998</v>
      </c>
      <c r="AA12" s="85">
        <f t="shared" si="40"/>
        <v>6434.8679999999995</v>
      </c>
      <c r="AB12" s="230"/>
      <c r="AC12" s="101"/>
      <c r="AD12" s="85">
        <f t="shared" si="41"/>
        <v>5718.5350012454792</v>
      </c>
      <c r="AE12" s="85">
        <f t="shared" si="4"/>
        <v>15446278.845760694</v>
      </c>
      <c r="AF12" s="92">
        <f t="shared" si="42"/>
        <v>0</v>
      </c>
      <c r="AG12" s="92">
        <f t="shared" si="43"/>
        <v>0</v>
      </c>
      <c r="AH12" s="85">
        <f t="shared" si="44"/>
        <v>5718.5350012454792</v>
      </c>
      <c r="AI12" s="85">
        <f t="shared" si="5"/>
        <v>15446278.845760694</v>
      </c>
      <c r="AJ12" s="93">
        <f t="shared" si="6"/>
        <v>18526632.982017789</v>
      </c>
      <c r="AK12" s="93">
        <f t="shared" si="7"/>
        <v>15801053.534613091</v>
      </c>
      <c r="AL12" s="94">
        <f t="shared" si="45"/>
        <v>0</v>
      </c>
      <c r="AM12" s="95"/>
      <c r="AN12" s="85">
        <f t="shared" si="46"/>
        <v>5701.0367760766767</v>
      </c>
      <c r="AO12" s="85">
        <f t="shared" si="8"/>
        <v>15399014.561253497</v>
      </c>
      <c r="AP12" s="92">
        <f t="shared" si="47"/>
        <v>0</v>
      </c>
      <c r="AQ12" s="92">
        <f t="shared" si="48"/>
        <v>0</v>
      </c>
      <c r="AR12" s="85">
        <f t="shared" si="49"/>
        <v>5701.0367760766767</v>
      </c>
      <c r="AS12" s="85">
        <f t="shared" si="9"/>
        <v>15399014.561253497</v>
      </c>
      <c r="AT12" s="93">
        <f t="shared" si="10"/>
        <v>18526632.982017789</v>
      </c>
      <c r="AU12" s="93">
        <f t="shared" si="11"/>
        <v>15801053.534613091</v>
      </c>
      <c r="AV12" s="94">
        <f t="shared" si="12"/>
        <v>0</v>
      </c>
      <c r="AW12" s="92">
        <f t="shared" si="13"/>
        <v>0</v>
      </c>
      <c r="AX12" s="95"/>
      <c r="AY12" s="85">
        <f t="shared" si="50"/>
        <v>5711.0538415199089</v>
      </c>
      <c r="AZ12" s="85">
        <f t="shared" si="14"/>
        <v>15426071.558547156</v>
      </c>
      <c r="BA12" s="92">
        <f t="shared" si="51"/>
        <v>0</v>
      </c>
      <c r="BB12" s="92">
        <f t="shared" si="52"/>
        <v>0</v>
      </c>
      <c r="BC12" s="85">
        <f t="shared" si="53"/>
        <v>5711.0538415199089</v>
      </c>
      <c r="BD12" s="85">
        <f t="shared" si="15"/>
        <v>15426071.558547156</v>
      </c>
      <c r="BE12" s="96">
        <f t="shared" si="16"/>
        <v>18526632.982017789</v>
      </c>
      <c r="BF12" s="96">
        <f t="shared" si="17"/>
        <v>15801053.534613091</v>
      </c>
      <c r="BG12" s="94">
        <f t="shared" si="18"/>
        <v>0</v>
      </c>
      <c r="BH12" s="92">
        <f t="shared" si="19"/>
        <v>0</v>
      </c>
      <c r="BI12" s="95"/>
      <c r="BJ12" s="85">
        <f t="shared" si="54"/>
        <v>5711.0538415199089</v>
      </c>
      <c r="BK12" s="85">
        <f t="shared" si="20"/>
        <v>15426071.558547156</v>
      </c>
      <c r="BL12" s="92">
        <f t="shared" si="55"/>
        <v>0</v>
      </c>
      <c r="BM12" s="92">
        <f t="shared" si="56"/>
        <v>0</v>
      </c>
      <c r="BN12" s="85">
        <f t="shared" si="57"/>
        <v>5711.0538415199089</v>
      </c>
      <c r="BO12" s="85">
        <f t="shared" si="21"/>
        <v>15426071.558547156</v>
      </c>
      <c r="BP12" s="93">
        <f t="shared" si="22"/>
        <v>18526632.982017789</v>
      </c>
      <c r="BQ12" s="93">
        <f t="shared" si="23"/>
        <v>15801053.534613091</v>
      </c>
      <c r="BR12" s="94">
        <f t="shared" si="24"/>
        <v>0</v>
      </c>
      <c r="BS12" s="92">
        <f t="shared" si="25"/>
        <v>0</v>
      </c>
      <c r="BT12" s="95"/>
      <c r="BU12" s="85">
        <f t="shared" si="58"/>
        <v>5711.0538415199089</v>
      </c>
      <c r="BV12" s="85">
        <f t="shared" si="26"/>
        <v>15426071.558547156</v>
      </c>
      <c r="BW12" s="92">
        <f t="shared" si="59"/>
        <v>0</v>
      </c>
      <c r="BX12" s="92">
        <f t="shared" si="60"/>
        <v>0</v>
      </c>
      <c r="BY12" s="85">
        <f t="shared" si="61"/>
        <v>5711.0538415199089</v>
      </c>
      <c r="BZ12" s="85">
        <f t="shared" si="27"/>
        <v>15426071.558547156</v>
      </c>
      <c r="CA12" s="96">
        <f t="shared" si="28"/>
        <v>18526632.982017789</v>
      </c>
      <c r="CB12" s="96">
        <f t="shared" si="29"/>
        <v>15801053.534613091</v>
      </c>
      <c r="CC12" s="94">
        <f t="shared" si="30"/>
        <v>0</v>
      </c>
      <c r="CD12" s="92">
        <f t="shared" si="31"/>
        <v>0</v>
      </c>
      <c r="CE12" s="66"/>
      <c r="CF12" s="85">
        <f t="shared" si="62"/>
        <v>5711.0538415199089</v>
      </c>
      <c r="CG12" s="85">
        <f t="shared" si="32"/>
        <v>15426071.558547156</v>
      </c>
      <c r="CH12" s="92">
        <f t="shared" si="63"/>
        <v>0</v>
      </c>
      <c r="CI12" s="92">
        <f t="shared" si="64"/>
        <v>0</v>
      </c>
      <c r="CJ12" s="85">
        <f t="shared" si="65"/>
        <v>5711.0538415199089</v>
      </c>
      <c r="CK12" s="85">
        <f t="shared" si="33"/>
        <v>15426071.558547156</v>
      </c>
      <c r="CL12" s="97">
        <f t="shared" si="34"/>
        <v>0.9762685459393885</v>
      </c>
      <c r="CM12" s="261"/>
      <c r="CN12" s="295">
        <f t="shared" si="66"/>
        <v>5825.27</v>
      </c>
      <c r="CP12" s="85">
        <f t="shared" si="67"/>
        <v>5825.27</v>
      </c>
      <c r="CQ12" s="85">
        <f t="shared" si="68"/>
        <v>5242.7430000000004</v>
      </c>
      <c r="CR12" s="85">
        <f t="shared" si="69"/>
        <v>6407.7970000000014</v>
      </c>
      <c r="CS12" s="295">
        <f t="shared" si="70"/>
        <v>5825.2749183503074</v>
      </c>
      <c r="CT12" s="295">
        <f t="shared" si="71"/>
        <v>5825.2749183503074</v>
      </c>
      <c r="CU12" s="303"/>
      <c r="CV12" s="303"/>
    </row>
    <row r="13" spans="1:155" s="153" customFormat="1" ht="15" customHeight="1" x14ac:dyDescent="0.3">
      <c r="A13" s="174">
        <v>60011</v>
      </c>
      <c r="B13" s="176" t="s">
        <v>270</v>
      </c>
      <c r="C13" s="175">
        <f>VLOOKUP($A13,'Fed Bs Rt+IME+GME+VBP+RAA+HAC'!$B$5:$AC$88,15,FALSE)</f>
        <v>6521.7222690000008</v>
      </c>
      <c r="D13" s="175">
        <f>VLOOKUP($A13,'Fed Bs Rt+IME+GME+VBP+RAA+HAC'!$B$5:$AC$88,21,FALSE)</f>
        <v>1311.8048721231003</v>
      </c>
      <c r="E13" s="175">
        <f>VLOOKUP($A13,'Fed Bs Rt+IME+GME+VBP+RAA+HAC'!$B$5:$AC$88,25,FALSE)</f>
        <v>-6.660335668800144</v>
      </c>
      <c r="F13" s="175">
        <f>VLOOKUP($A13,'Fed Bs Rt+IME+GME+VBP+RAA+HAC'!$B$5:$AC$88,23,FALSE)</f>
        <v>28.942185906240411</v>
      </c>
      <c r="G13" s="175">
        <f>VLOOKUP($A13,'Fed Bs Rt+IME+GME+VBP+RAA+HAC'!$B$5:$AC$88,28,FALSE)</f>
        <v>0</v>
      </c>
      <c r="H13" s="175">
        <f t="shared" si="35"/>
        <v>1334.0867223605405</v>
      </c>
      <c r="I13" s="224">
        <f>VLOOKUP($A13,'Fed Bs Rt+IME+GME+VBP+RAA+HAC'!$B$5:$AC$88,16,FALSE)</f>
        <v>0</v>
      </c>
      <c r="J13" s="175">
        <f t="shared" si="36"/>
        <v>0</v>
      </c>
      <c r="K13" s="175">
        <f t="shared" si="0"/>
        <v>0</v>
      </c>
      <c r="L13" s="294">
        <f>IF(OR(J13&gt;0,K13&gt;0,M13&gt;0),0,IF(VLOOKUP(A13,'Low Discharge'!A:C,3,FALSE)&lt;=L$3,L$1*C13,IF(VLOOKUP(A13,'Low Discharge'!A:C,3,FALSE)&gt;=L$2,0,(VLOOKUP(A13,'Low Discharge'!A:C,3,FALSE)-L$2)/(L$3-L$2)*L$1*C13)))</f>
        <v>0</v>
      </c>
      <c r="M13" s="170">
        <f>IF(VLOOKUP($A13,Characteristics!$A:$E,3,FALSE)=2,M$1*C13,0)</f>
        <v>0</v>
      </c>
      <c r="N13" s="170">
        <f>IF(VLOOKUP($A13,Characteristics!$A:$E,5,FALSE)&gt;=N$2,N$1*C13,IF(VLOOKUP($A13,Characteristics!$A:$E,5,FALSE)&lt;=N$3,0,(VLOOKUP($A13,Characteristics!$A:$E,5,FALSE)-N$3)/(N$2-N$3)*N$1*C13))</f>
        <v>652.17222690000017</v>
      </c>
      <c r="O13" s="170">
        <f>IF(VLOOKUP($A13,Characteristics!$A:$F,6,FALSE)&lt;=O$3,O$1*C13,IF(VLOOKUP($A13,Characteristics!$A:$F,6,FALSE)&gt;=O$2,0,(VLOOKUP($A13,Characteristics!$A:$F,6,FALSE)-O$2)/(O$3-O$2)*O$1*C13))</f>
        <v>414.34710190277701</v>
      </c>
      <c r="P13" s="175">
        <f t="shared" si="1"/>
        <v>8922.3283201633185</v>
      </c>
      <c r="Q13" s="175"/>
      <c r="R13" s="85">
        <v>7151.57</v>
      </c>
      <c r="S13" s="86">
        <f t="shared" si="37"/>
        <v>7330.3592499999995</v>
      </c>
      <c r="T13" s="85">
        <f t="shared" si="2"/>
        <v>83988424.756378919</v>
      </c>
      <c r="U13" s="88">
        <v>7736.6183999999994</v>
      </c>
      <c r="V13" s="89">
        <v>1.4809588806396345</v>
      </c>
      <c r="W13" s="90">
        <f t="shared" si="3"/>
        <v>102228591.42541283</v>
      </c>
      <c r="X13" s="98" t="s">
        <v>5</v>
      </c>
      <c r="Y13" s="85">
        <f t="shared" si="38"/>
        <v>7330.3592499999995</v>
      </c>
      <c r="Z13" s="85">
        <f t="shared" si="39"/>
        <v>6597.3233249999994</v>
      </c>
      <c r="AA13" s="85">
        <f t="shared" si="40"/>
        <v>8063.3951750000006</v>
      </c>
      <c r="AB13" s="230"/>
      <c r="AC13" s="101"/>
      <c r="AD13" s="85">
        <f t="shared" si="41"/>
        <v>7438.8460828493289</v>
      </c>
      <c r="AE13" s="85">
        <f t="shared" si="4"/>
        <v>85231424.981480271</v>
      </c>
      <c r="AF13" s="92">
        <f t="shared" si="42"/>
        <v>0</v>
      </c>
      <c r="AG13" s="92">
        <f t="shared" si="43"/>
        <v>0</v>
      </c>
      <c r="AH13" s="85">
        <f t="shared" si="44"/>
        <v>7438.8460828493289</v>
      </c>
      <c r="AI13" s="85">
        <f t="shared" si="5"/>
        <v>85231424.981480271</v>
      </c>
      <c r="AJ13" s="93">
        <f t="shared" si="6"/>
        <v>102228591.42541283</v>
      </c>
      <c r="AK13" s="93">
        <f t="shared" si="7"/>
        <v>83988424.756378919</v>
      </c>
      <c r="AL13" s="94">
        <f t="shared" si="45"/>
        <v>0</v>
      </c>
      <c r="AM13" s="95"/>
      <c r="AN13" s="85">
        <f t="shared" si="46"/>
        <v>7416.0838537599893</v>
      </c>
      <c r="AO13" s="85">
        <f t="shared" si="8"/>
        <v>84970624.15304099</v>
      </c>
      <c r="AP13" s="92">
        <f t="shared" si="47"/>
        <v>0</v>
      </c>
      <c r="AQ13" s="92">
        <f t="shared" si="48"/>
        <v>0</v>
      </c>
      <c r="AR13" s="85">
        <f t="shared" si="49"/>
        <v>7416.0838537599893</v>
      </c>
      <c r="AS13" s="85">
        <f t="shared" si="9"/>
        <v>84970624.15304099</v>
      </c>
      <c r="AT13" s="93">
        <f t="shared" si="10"/>
        <v>102228591.42541283</v>
      </c>
      <c r="AU13" s="93">
        <f t="shared" si="11"/>
        <v>83988424.756378919</v>
      </c>
      <c r="AV13" s="94">
        <f t="shared" si="12"/>
        <v>0</v>
      </c>
      <c r="AW13" s="92">
        <f t="shared" si="13"/>
        <v>0</v>
      </c>
      <c r="AX13" s="95"/>
      <c r="AY13" s="85">
        <f t="shared" si="50"/>
        <v>7429.1143603526389</v>
      </c>
      <c r="AZ13" s="85">
        <f t="shared" si="14"/>
        <v>85119922.664228454</v>
      </c>
      <c r="BA13" s="92">
        <f t="shared" si="51"/>
        <v>0</v>
      </c>
      <c r="BB13" s="92">
        <f t="shared" si="52"/>
        <v>0</v>
      </c>
      <c r="BC13" s="85">
        <f t="shared" si="53"/>
        <v>7429.1143603526389</v>
      </c>
      <c r="BD13" s="85">
        <f t="shared" si="15"/>
        <v>85119922.664228454</v>
      </c>
      <c r="BE13" s="96">
        <f t="shared" si="16"/>
        <v>102228591.42541283</v>
      </c>
      <c r="BF13" s="96">
        <f t="shared" si="17"/>
        <v>83988424.756378919</v>
      </c>
      <c r="BG13" s="94">
        <f t="shared" si="18"/>
        <v>0</v>
      </c>
      <c r="BH13" s="92">
        <f t="shared" si="19"/>
        <v>0</v>
      </c>
      <c r="BI13" s="95"/>
      <c r="BJ13" s="85">
        <f t="shared" si="54"/>
        <v>7429.1143603526389</v>
      </c>
      <c r="BK13" s="85">
        <f t="shared" si="20"/>
        <v>85119922.664228454</v>
      </c>
      <c r="BL13" s="92">
        <f t="shared" si="55"/>
        <v>0</v>
      </c>
      <c r="BM13" s="92">
        <f t="shared" si="56"/>
        <v>0</v>
      </c>
      <c r="BN13" s="85">
        <f t="shared" si="57"/>
        <v>7429.1143603526389</v>
      </c>
      <c r="BO13" s="85">
        <f t="shared" si="21"/>
        <v>85119922.664228454</v>
      </c>
      <c r="BP13" s="93">
        <f t="shared" si="22"/>
        <v>102228591.42541283</v>
      </c>
      <c r="BQ13" s="93">
        <f t="shared" si="23"/>
        <v>83988424.756378919</v>
      </c>
      <c r="BR13" s="94">
        <f t="shared" si="24"/>
        <v>0</v>
      </c>
      <c r="BS13" s="92">
        <f t="shared" si="25"/>
        <v>0</v>
      </c>
      <c r="BT13" s="95"/>
      <c r="BU13" s="85">
        <f t="shared" si="58"/>
        <v>7429.1143603526389</v>
      </c>
      <c r="BV13" s="85">
        <f t="shared" si="26"/>
        <v>85119922.664228454</v>
      </c>
      <c r="BW13" s="92">
        <f t="shared" si="59"/>
        <v>0</v>
      </c>
      <c r="BX13" s="92">
        <f t="shared" si="60"/>
        <v>0</v>
      </c>
      <c r="BY13" s="85">
        <f t="shared" si="61"/>
        <v>7429.1143603526389</v>
      </c>
      <c r="BZ13" s="85">
        <f t="shared" si="27"/>
        <v>85119922.664228454</v>
      </c>
      <c r="CA13" s="96">
        <f t="shared" si="28"/>
        <v>102228591.42541283</v>
      </c>
      <c r="CB13" s="96">
        <f t="shared" si="29"/>
        <v>83988424.756378919</v>
      </c>
      <c r="CC13" s="94">
        <f t="shared" si="30"/>
        <v>0</v>
      </c>
      <c r="CD13" s="92">
        <f t="shared" si="31"/>
        <v>0</v>
      </c>
      <c r="CE13" s="66"/>
      <c r="CF13" s="85">
        <f t="shared" si="62"/>
        <v>7429.1143603526389</v>
      </c>
      <c r="CG13" s="85">
        <f t="shared" si="32"/>
        <v>85119922.664228454</v>
      </c>
      <c r="CH13" s="92">
        <f t="shared" si="63"/>
        <v>0</v>
      </c>
      <c r="CI13" s="92">
        <f t="shared" si="64"/>
        <v>0</v>
      </c>
      <c r="CJ13" s="85">
        <f t="shared" si="65"/>
        <v>7429.1143603526389</v>
      </c>
      <c r="CK13" s="85">
        <f t="shared" si="33"/>
        <v>85119922.664228454</v>
      </c>
      <c r="CL13" s="97">
        <f t="shared" si="34"/>
        <v>1.0134720696468784</v>
      </c>
      <c r="CM13" s="261"/>
      <c r="CN13" s="295">
        <f t="shared" si="66"/>
        <v>7577.7</v>
      </c>
      <c r="CP13" s="85">
        <f t="shared" si="67"/>
        <v>7577.7</v>
      </c>
      <c r="CQ13" s="85">
        <f t="shared" si="68"/>
        <v>6819.93</v>
      </c>
      <c r="CR13" s="85">
        <f t="shared" si="69"/>
        <v>8335.4700000000012</v>
      </c>
      <c r="CS13" s="295">
        <f t="shared" si="70"/>
        <v>7577.6966475596919</v>
      </c>
      <c r="CT13" s="295">
        <f t="shared" si="71"/>
        <v>7577.6966475596919</v>
      </c>
      <c r="CU13" s="303"/>
      <c r="CV13" s="303"/>
    </row>
    <row r="14" spans="1:155" s="153" customFormat="1" ht="15" customHeight="1" x14ac:dyDescent="0.3">
      <c r="A14" s="174">
        <v>60012</v>
      </c>
      <c r="B14" s="176" t="s">
        <v>270</v>
      </c>
      <c r="C14" s="175">
        <f>VLOOKUP($A14,'Fed Bs Rt+IME+GME+VBP+RAA+HAC'!$B$5:$AC$88,15,FALSE)</f>
        <v>6521.7222690000008</v>
      </c>
      <c r="D14" s="175">
        <f>VLOOKUP($A14,'Fed Bs Rt+IME+GME+VBP+RAA+HAC'!$B$5:$AC$88,21,FALSE)</f>
        <v>886.41039211368013</v>
      </c>
      <c r="E14" s="175">
        <f>VLOOKUP($A14,'Fed Bs Rt+IME+GME+VBP+RAA+HAC'!$B$5:$AC$88,25,FALSE)</f>
        <v>-1.2109701215995301</v>
      </c>
      <c r="F14" s="175">
        <f>VLOOKUP($A14,'Fed Bs Rt+IME+GME+VBP+RAA+HAC'!$B$5:$AC$88,23,FALSE)</f>
        <v>41.051887122240259</v>
      </c>
      <c r="G14" s="175">
        <f>VLOOKUP($A14,'Fed Bs Rt+IME+GME+VBP+RAA+HAC'!$B$5:$AC$88,28,FALSE)</f>
        <v>0</v>
      </c>
      <c r="H14" s="175">
        <f t="shared" si="35"/>
        <v>926.25130911432086</v>
      </c>
      <c r="I14" s="175">
        <f>VLOOKUP($A14,'Fed Bs Rt+IME+GME+VBP+RAA+HAC'!$B$5:$AC$88,16,FALSE)</f>
        <v>69.920058534145625</v>
      </c>
      <c r="J14" s="175">
        <f t="shared" si="36"/>
        <v>0</v>
      </c>
      <c r="K14" s="175">
        <f t="shared" si="0"/>
        <v>0</v>
      </c>
      <c r="L14" s="294">
        <f>IF(OR(J14&gt;0,K14&gt;0,M14&gt;0),0,IF(VLOOKUP(A14,'Low Discharge'!A:C,3,FALSE)&lt;=L$3,L$1*C14,IF(VLOOKUP(A14,'Low Discharge'!A:C,3,FALSE)&gt;=L$2,0,(VLOOKUP(A14,'Low Discharge'!A:C,3,FALSE)-L$2)/(L$3-L$2)*L$1*C14)))</f>
        <v>0</v>
      </c>
      <c r="M14" s="170">
        <f>IF(VLOOKUP($A14,Characteristics!$A:$E,3,FALSE)=2,M$1*C14,0)</f>
        <v>0</v>
      </c>
      <c r="N14" s="170">
        <f>IF(VLOOKUP($A14,Characteristics!$A:$E,5,FALSE)&gt;=N$2,N$1*C14,IF(VLOOKUP($A14,Characteristics!$A:$E,5,FALSE)&lt;=N$3,0,(VLOOKUP($A14,Characteristics!$A:$E,5,FALSE)-N$3)/(N$2-N$3)*N$1*C14))</f>
        <v>0</v>
      </c>
      <c r="O14" s="170">
        <f>IF(VLOOKUP($A14,Characteristics!$A:$F,6,FALSE)&lt;=O$3,O$1*C14,IF(VLOOKUP($A14,Characteristics!$A:$F,6,FALSE)&gt;=O$2,0,(VLOOKUP($A14,Characteristics!$A:$F,6,FALSE)-O$2)/(O$3-O$2)*O$1*C14))</f>
        <v>0</v>
      </c>
      <c r="P14" s="175">
        <f t="shared" si="1"/>
        <v>7517.8936366484677</v>
      </c>
      <c r="Q14" s="175"/>
      <c r="R14" s="85">
        <v>5678.37</v>
      </c>
      <c r="S14" s="86">
        <f t="shared" si="37"/>
        <v>5820.3292499999998</v>
      </c>
      <c r="T14" s="85">
        <f t="shared" si="2"/>
        <v>5042045.8070481736</v>
      </c>
      <c r="U14" s="88">
        <v>486.02399999999994</v>
      </c>
      <c r="V14" s="89">
        <v>1.7823850000000001</v>
      </c>
      <c r="W14" s="90">
        <f t="shared" si="3"/>
        <v>6512615.0876254216</v>
      </c>
      <c r="X14" s="98" t="s">
        <v>5</v>
      </c>
      <c r="Y14" s="85">
        <f t="shared" si="38"/>
        <v>5820.3292499999998</v>
      </c>
      <c r="Z14" s="85">
        <f t="shared" si="39"/>
        <v>5238.2963250000003</v>
      </c>
      <c r="AA14" s="85">
        <f t="shared" si="40"/>
        <v>6402.3621750000002</v>
      </c>
      <c r="AB14" s="230"/>
      <c r="AC14" s="101"/>
      <c r="AD14" s="85">
        <f t="shared" si="41"/>
        <v>6267.9215137015581</v>
      </c>
      <c r="AE14" s="85">
        <f t="shared" si="4"/>
        <v>5429786.8779615825</v>
      </c>
      <c r="AF14" s="92">
        <f t="shared" si="42"/>
        <v>0</v>
      </c>
      <c r="AG14" s="92">
        <f t="shared" si="43"/>
        <v>0</v>
      </c>
      <c r="AH14" s="85">
        <f t="shared" si="44"/>
        <v>6267.9215137015581</v>
      </c>
      <c r="AI14" s="85">
        <f t="shared" si="5"/>
        <v>5429786.8779615825</v>
      </c>
      <c r="AJ14" s="93">
        <f t="shared" si="6"/>
        <v>6512615.0876254216</v>
      </c>
      <c r="AK14" s="93">
        <f t="shared" si="7"/>
        <v>5042045.8070481736</v>
      </c>
      <c r="AL14" s="94">
        <f t="shared" si="45"/>
        <v>0</v>
      </c>
      <c r="AM14" s="95"/>
      <c r="AN14" s="85">
        <f t="shared" si="46"/>
        <v>6248.7422130654268</v>
      </c>
      <c r="AO14" s="85">
        <f t="shared" si="8"/>
        <v>5413172.1972105717</v>
      </c>
      <c r="AP14" s="92">
        <f t="shared" si="47"/>
        <v>0</v>
      </c>
      <c r="AQ14" s="92">
        <f t="shared" si="48"/>
        <v>0</v>
      </c>
      <c r="AR14" s="85">
        <f t="shared" si="49"/>
        <v>6248.7422130654268</v>
      </c>
      <c r="AS14" s="85">
        <f t="shared" si="9"/>
        <v>5413172.1972105717</v>
      </c>
      <c r="AT14" s="93">
        <f t="shared" si="10"/>
        <v>6512615.0876254216</v>
      </c>
      <c r="AU14" s="93">
        <f t="shared" si="11"/>
        <v>5042045.8070481736</v>
      </c>
      <c r="AV14" s="94">
        <f t="shared" si="12"/>
        <v>0</v>
      </c>
      <c r="AW14" s="92">
        <f t="shared" si="13"/>
        <v>0</v>
      </c>
      <c r="AX14" s="95"/>
      <c r="AY14" s="85">
        <f t="shared" si="50"/>
        <v>6259.7216299933834</v>
      </c>
      <c r="AZ14" s="85">
        <f t="shared" si="14"/>
        <v>5422683.4672277169</v>
      </c>
      <c r="BA14" s="92">
        <f t="shared" si="51"/>
        <v>0</v>
      </c>
      <c r="BB14" s="92">
        <f t="shared" si="52"/>
        <v>0</v>
      </c>
      <c r="BC14" s="85">
        <f t="shared" si="53"/>
        <v>6259.7216299933834</v>
      </c>
      <c r="BD14" s="85">
        <f t="shared" si="15"/>
        <v>5422683.4672277169</v>
      </c>
      <c r="BE14" s="96">
        <f t="shared" si="16"/>
        <v>6512615.0876254216</v>
      </c>
      <c r="BF14" s="96">
        <f t="shared" si="17"/>
        <v>5042045.8070481736</v>
      </c>
      <c r="BG14" s="94">
        <f t="shared" si="18"/>
        <v>0</v>
      </c>
      <c r="BH14" s="92">
        <f t="shared" si="19"/>
        <v>0</v>
      </c>
      <c r="BI14" s="95"/>
      <c r="BJ14" s="85">
        <f t="shared" si="54"/>
        <v>6259.7216299933834</v>
      </c>
      <c r="BK14" s="85">
        <f t="shared" si="20"/>
        <v>5422683.4672277169</v>
      </c>
      <c r="BL14" s="92">
        <f t="shared" si="55"/>
        <v>0</v>
      </c>
      <c r="BM14" s="92">
        <f t="shared" si="56"/>
        <v>0</v>
      </c>
      <c r="BN14" s="85">
        <f t="shared" si="57"/>
        <v>6259.7216299933834</v>
      </c>
      <c r="BO14" s="85">
        <f t="shared" si="21"/>
        <v>5422683.4672277169</v>
      </c>
      <c r="BP14" s="93">
        <f t="shared" si="22"/>
        <v>6512615.0876254216</v>
      </c>
      <c r="BQ14" s="93">
        <f t="shared" si="23"/>
        <v>5042045.8070481736</v>
      </c>
      <c r="BR14" s="94">
        <f t="shared" si="24"/>
        <v>0</v>
      </c>
      <c r="BS14" s="92">
        <f t="shared" si="25"/>
        <v>0</v>
      </c>
      <c r="BT14" s="95"/>
      <c r="BU14" s="85">
        <f t="shared" si="58"/>
        <v>6259.7216299933834</v>
      </c>
      <c r="BV14" s="85">
        <f t="shared" si="26"/>
        <v>5422683.4672277169</v>
      </c>
      <c r="BW14" s="92">
        <f t="shared" si="59"/>
        <v>0</v>
      </c>
      <c r="BX14" s="92">
        <f t="shared" si="60"/>
        <v>0</v>
      </c>
      <c r="BY14" s="85">
        <f t="shared" si="61"/>
        <v>6259.7216299933834</v>
      </c>
      <c r="BZ14" s="85">
        <f t="shared" si="27"/>
        <v>5422683.4672277169</v>
      </c>
      <c r="CA14" s="96">
        <f t="shared" si="28"/>
        <v>6512615.0876254216</v>
      </c>
      <c r="CB14" s="96">
        <f t="shared" si="29"/>
        <v>5042045.8070481736</v>
      </c>
      <c r="CC14" s="94">
        <f t="shared" si="30"/>
        <v>0</v>
      </c>
      <c r="CD14" s="92">
        <f t="shared" si="31"/>
        <v>0</v>
      </c>
      <c r="CE14" s="66"/>
      <c r="CF14" s="85">
        <f t="shared" si="62"/>
        <v>6259.7216299933834</v>
      </c>
      <c r="CG14" s="85">
        <f t="shared" si="32"/>
        <v>5422683.4672277169</v>
      </c>
      <c r="CH14" s="92">
        <f t="shared" si="63"/>
        <v>0</v>
      </c>
      <c r="CI14" s="92">
        <f t="shared" si="64"/>
        <v>0</v>
      </c>
      <c r="CJ14" s="85">
        <f t="shared" si="65"/>
        <v>6259.7216299933834</v>
      </c>
      <c r="CK14" s="85">
        <f t="shared" si="33"/>
        <v>5422683.4672277169</v>
      </c>
      <c r="CL14" s="97">
        <f t="shared" si="34"/>
        <v>1.0754927017218801</v>
      </c>
      <c r="CM14" s="261"/>
      <c r="CN14" s="295">
        <f t="shared" si="66"/>
        <v>6384.92</v>
      </c>
      <c r="CP14" s="85">
        <f t="shared" si="67"/>
        <v>6384.92</v>
      </c>
      <c r="CQ14" s="85">
        <f t="shared" si="68"/>
        <v>5746.4279999999999</v>
      </c>
      <c r="CR14" s="85">
        <f t="shared" si="69"/>
        <v>7023.4120000000003</v>
      </c>
      <c r="CS14" s="295">
        <f t="shared" si="70"/>
        <v>6384.9160625932509</v>
      </c>
      <c r="CT14" s="295">
        <f t="shared" si="71"/>
        <v>6384.9160625932509</v>
      </c>
      <c r="CU14" s="303"/>
      <c r="CV14" s="303"/>
    </row>
    <row r="15" spans="1:155" s="153" customFormat="1" ht="15" customHeight="1" x14ac:dyDescent="0.3">
      <c r="A15" s="174">
        <v>60013</v>
      </c>
      <c r="B15" s="176" t="s">
        <v>271</v>
      </c>
      <c r="C15" s="175">
        <f>VLOOKUP($A15,'Fed Bs Rt+IME+GME+VBP+RAA+HAC'!$B$5:$AC$88,15,FALSE)</f>
        <v>6521.7222690000008</v>
      </c>
      <c r="D15" s="175">
        <f>VLOOKUP($A15,'Fed Bs Rt+IME+GME+VBP+RAA+HAC'!$B$5:$AC$88,21,FALSE)</f>
        <v>0</v>
      </c>
      <c r="E15" s="175">
        <f>VLOOKUP($A15,'Fed Bs Rt+IME+GME+VBP+RAA+HAC'!$B$5:$AC$88,25,FALSE)</f>
        <v>0</v>
      </c>
      <c r="F15" s="175">
        <f>VLOOKUP($A15,'Fed Bs Rt+IME+GME+VBP+RAA+HAC'!$B$5:$AC$88,23,FALSE)</f>
        <v>120.24933307488027</v>
      </c>
      <c r="G15" s="175">
        <f>VLOOKUP($A15,'Fed Bs Rt+IME+GME+VBP+RAA+HAC'!$B$5:$AC$88,28,FALSE)</f>
        <v>0</v>
      </c>
      <c r="H15" s="175">
        <f t="shared" si="35"/>
        <v>120.24933307488027</v>
      </c>
      <c r="I15" s="175">
        <f>VLOOKUP($A15,'Fed Bs Rt+IME+GME+VBP+RAA+HAC'!$B$5:$AC$88,16,FALSE)</f>
        <v>0</v>
      </c>
      <c r="J15" s="175">
        <f t="shared" si="36"/>
        <v>0</v>
      </c>
      <c r="K15" s="175">
        <f t="shared" si="0"/>
        <v>1304.3444538000003</v>
      </c>
      <c r="L15" s="294">
        <f>IF(OR(J15&gt;0,K15&gt;0,M15&gt;0),0,IF(VLOOKUP(A15,'Low Discharge'!A:C,3,FALSE)&lt;=L$3,L$1*C15,IF(VLOOKUP(A15,'Low Discharge'!A:C,3,FALSE)&gt;=L$2,0,(VLOOKUP(A15,'Low Discharge'!A:C,3,FALSE)-L$2)/(L$3-L$2)*L$1*C15)))</f>
        <v>0</v>
      </c>
      <c r="M15" s="170">
        <f>IF(VLOOKUP($A15,Characteristics!$A:$E,3,FALSE)=2,M$1*C15,0)</f>
        <v>0</v>
      </c>
      <c r="N15" s="170">
        <f>IF(VLOOKUP($A15,Characteristics!$A:$E,5,FALSE)&gt;=N$2,N$1*C15,IF(VLOOKUP($A15,Characteristics!$A:$E,5,FALSE)&lt;=N$3,0,(VLOOKUP($A15,Characteristics!$A:$E,5,FALSE)-N$3)/(N$2-N$3)*N$1*C15))</f>
        <v>0</v>
      </c>
      <c r="O15" s="170">
        <f>IF(VLOOKUP($A15,Characteristics!$A:$F,6,FALSE)&lt;=O$3,O$1*C15,IF(VLOOKUP($A15,Characteristics!$A:$F,6,FALSE)&gt;=O$2,0,(VLOOKUP($A15,Characteristics!$A:$F,6,FALSE)-O$2)/(O$3-O$2)*O$1*C15))</f>
        <v>0</v>
      </c>
      <c r="P15" s="175">
        <f t="shared" si="1"/>
        <v>7946.3160558748814</v>
      </c>
      <c r="Q15" s="175"/>
      <c r="R15" s="85">
        <v>6724.9</v>
      </c>
      <c r="S15" s="86">
        <f t="shared" si="37"/>
        <v>6893.0224999999991</v>
      </c>
      <c r="T15" s="85">
        <f t="shared" si="2"/>
        <v>6647939.0641161622</v>
      </c>
      <c r="U15" s="88">
        <v>807.46259999999995</v>
      </c>
      <c r="V15" s="89">
        <v>1.1944140902872777</v>
      </c>
      <c r="W15" s="90">
        <f t="shared" si="3"/>
        <v>7663782.4588073082</v>
      </c>
      <c r="X15" s="98" t="s">
        <v>5</v>
      </c>
      <c r="Y15" s="85">
        <f t="shared" si="38"/>
        <v>6893.0224999999991</v>
      </c>
      <c r="Z15" s="85">
        <f t="shared" si="39"/>
        <v>6203.7202499999994</v>
      </c>
      <c r="AA15" s="85">
        <f t="shared" si="40"/>
        <v>7582.3247499999998</v>
      </c>
      <c r="AB15" s="230"/>
      <c r="AC15" s="101"/>
      <c r="AD15" s="85">
        <f t="shared" si="41"/>
        <v>6625.1117358843821</v>
      </c>
      <c r="AE15" s="85">
        <f t="shared" si="4"/>
        <v>6389553.945764754</v>
      </c>
      <c r="AF15" s="92">
        <f t="shared" si="42"/>
        <v>0</v>
      </c>
      <c r="AG15" s="92">
        <f t="shared" si="43"/>
        <v>0</v>
      </c>
      <c r="AH15" s="85">
        <f t="shared" si="44"/>
        <v>6625.1117358843821</v>
      </c>
      <c r="AI15" s="85">
        <f t="shared" si="5"/>
        <v>6389553.945764754</v>
      </c>
      <c r="AJ15" s="93">
        <f t="shared" si="6"/>
        <v>7663782.4588073082</v>
      </c>
      <c r="AK15" s="93">
        <f t="shared" si="7"/>
        <v>6647939.0641161622</v>
      </c>
      <c r="AL15" s="94">
        <f t="shared" si="45"/>
        <v>0</v>
      </c>
      <c r="AM15" s="95"/>
      <c r="AN15" s="85">
        <f t="shared" si="46"/>
        <v>6604.8394638955378</v>
      </c>
      <c r="AO15" s="85">
        <f t="shared" si="8"/>
        <v>6370002.4603498979</v>
      </c>
      <c r="AP15" s="92">
        <f t="shared" si="47"/>
        <v>0</v>
      </c>
      <c r="AQ15" s="92">
        <f t="shared" si="48"/>
        <v>0</v>
      </c>
      <c r="AR15" s="85">
        <f t="shared" si="49"/>
        <v>6604.8394638955378</v>
      </c>
      <c r="AS15" s="85">
        <f t="shared" si="9"/>
        <v>6370002.4603498979</v>
      </c>
      <c r="AT15" s="93">
        <f t="shared" si="10"/>
        <v>7663782.4588073082</v>
      </c>
      <c r="AU15" s="93">
        <f t="shared" si="11"/>
        <v>6647939.0641161622</v>
      </c>
      <c r="AV15" s="94">
        <f t="shared" si="12"/>
        <v>0</v>
      </c>
      <c r="AW15" s="92">
        <f t="shared" si="13"/>
        <v>0</v>
      </c>
      <c r="AX15" s="95"/>
      <c r="AY15" s="85">
        <f t="shared" si="50"/>
        <v>6616.4445651693113</v>
      </c>
      <c r="AZ15" s="85">
        <f t="shared" si="14"/>
        <v>6381194.9388454994</v>
      </c>
      <c r="BA15" s="92">
        <f t="shared" si="51"/>
        <v>0</v>
      </c>
      <c r="BB15" s="92">
        <f t="shared" si="52"/>
        <v>0</v>
      </c>
      <c r="BC15" s="85">
        <f t="shared" si="53"/>
        <v>6616.4445651693113</v>
      </c>
      <c r="BD15" s="85">
        <f t="shared" si="15"/>
        <v>6381194.9388454994</v>
      </c>
      <c r="BE15" s="96">
        <f t="shared" si="16"/>
        <v>7663782.4588073082</v>
      </c>
      <c r="BF15" s="96">
        <f t="shared" si="17"/>
        <v>6647939.0641161622</v>
      </c>
      <c r="BG15" s="94">
        <f t="shared" si="18"/>
        <v>0</v>
      </c>
      <c r="BH15" s="92">
        <f t="shared" si="19"/>
        <v>0</v>
      </c>
      <c r="BI15" s="95"/>
      <c r="BJ15" s="85">
        <f t="shared" si="54"/>
        <v>6616.4445651693113</v>
      </c>
      <c r="BK15" s="85">
        <f t="shared" si="20"/>
        <v>6381194.9388454994</v>
      </c>
      <c r="BL15" s="92">
        <f t="shared" si="55"/>
        <v>0</v>
      </c>
      <c r="BM15" s="92">
        <f t="shared" si="56"/>
        <v>0</v>
      </c>
      <c r="BN15" s="85">
        <f t="shared" si="57"/>
        <v>6616.4445651693113</v>
      </c>
      <c r="BO15" s="85">
        <f t="shared" si="21"/>
        <v>6381194.9388454994</v>
      </c>
      <c r="BP15" s="93">
        <f t="shared" si="22"/>
        <v>7663782.4588073082</v>
      </c>
      <c r="BQ15" s="93">
        <f t="shared" si="23"/>
        <v>6647939.0641161622</v>
      </c>
      <c r="BR15" s="94">
        <f t="shared" si="24"/>
        <v>0</v>
      </c>
      <c r="BS15" s="92">
        <f t="shared" si="25"/>
        <v>0</v>
      </c>
      <c r="BT15" s="95"/>
      <c r="BU15" s="85">
        <f t="shared" si="58"/>
        <v>6616.4445651693113</v>
      </c>
      <c r="BV15" s="85">
        <f t="shared" si="26"/>
        <v>6381194.9388454994</v>
      </c>
      <c r="BW15" s="92">
        <f t="shared" si="59"/>
        <v>0</v>
      </c>
      <c r="BX15" s="92">
        <f t="shared" si="60"/>
        <v>0</v>
      </c>
      <c r="BY15" s="85">
        <f t="shared" si="61"/>
        <v>6616.4445651693113</v>
      </c>
      <c r="BZ15" s="85">
        <f t="shared" si="27"/>
        <v>6381194.9388454994</v>
      </c>
      <c r="CA15" s="96">
        <f t="shared" si="28"/>
        <v>7663782.4588073082</v>
      </c>
      <c r="CB15" s="96">
        <f t="shared" si="29"/>
        <v>6647939.0641161622</v>
      </c>
      <c r="CC15" s="94">
        <f t="shared" si="30"/>
        <v>0</v>
      </c>
      <c r="CD15" s="92">
        <f t="shared" si="31"/>
        <v>0</v>
      </c>
      <c r="CE15" s="66"/>
      <c r="CF15" s="85">
        <f t="shared" si="62"/>
        <v>6616.4445651693113</v>
      </c>
      <c r="CG15" s="85">
        <f t="shared" si="32"/>
        <v>6381194.9388454994</v>
      </c>
      <c r="CH15" s="92">
        <f t="shared" si="63"/>
        <v>0</v>
      </c>
      <c r="CI15" s="92">
        <f t="shared" si="64"/>
        <v>0</v>
      </c>
      <c r="CJ15" s="85">
        <f t="shared" si="65"/>
        <v>6616.4445651693113</v>
      </c>
      <c r="CK15" s="85">
        <f t="shared" si="33"/>
        <v>6381194.9388454994</v>
      </c>
      <c r="CL15" s="97">
        <f t="shared" si="34"/>
        <v>0.95987566632334542</v>
      </c>
      <c r="CM15" s="261"/>
      <c r="CN15" s="295">
        <f t="shared" si="66"/>
        <v>6748.77</v>
      </c>
      <c r="CP15" s="85">
        <f t="shared" si="67"/>
        <v>6748.77</v>
      </c>
      <c r="CQ15" s="85">
        <f t="shared" si="68"/>
        <v>6073.8930000000009</v>
      </c>
      <c r="CR15" s="85">
        <f t="shared" si="69"/>
        <v>7423.6470000000008</v>
      </c>
      <c r="CS15" s="295">
        <f t="shared" si="70"/>
        <v>6748.7734564726979</v>
      </c>
      <c r="CT15" s="295">
        <f t="shared" si="71"/>
        <v>6748.7734564726979</v>
      </c>
      <c r="CU15" s="303"/>
      <c r="CV15" s="303"/>
    </row>
    <row r="16" spans="1:155" s="153" customFormat="1" ht="15" customHeight="1" x14ac:dyDescent="0.3">
      <c r="A16" s="174">
        <v>60014</v>
      </c>
      <c r="B16" s="176" t="s">
        <v>270</v>
      </c>
      <c r="C16" s="175">
        <f>VLOOKUP($A16,'Fed Bs Rt+IME+GME+VBP+RAA+HAC'!$B$5:$AC$88,15,FALSE)</f>
        <v>6521.7222690000008</v>
      </c>
      <c r="D16" s="175">
        <f>VLOOKUP($A16,'Fed Bs Rt+IME+GME+VBP+RAA+HAC'!$B$5:$AC$88,21,FALSE)</f>
        <v>353.65320010404002</v>
      </c>
      <c r="E16" s="175">
        <f>VLOOKUP($A16,'Fed Bs Rt+IME+GME+VBP+RAA+HAC'!$B$5:$AC$88,25,FALSE)</f>
        <v>-27.246827735999432</v>
      </c>
      <c r="F16" s="175">
        <f>VLOOKUP($A16,'Fed Bs Rt+IME+GME+VBP+RAA+HAC'!$B$5:$AC$88,23,FALSE)</f>
        <v>8.0529513086403313</v>
      </c>
      <c r="G16" s="175">
        <f>VLOOKUP($A16,'Fed Bs Rt+IME+GME+VBP+RAA+HAC'!$B$5:$AC$88,28,FALSE)</f>
        <v>0</v>
      </c>
      <c r="H16" s="175">
        <f t="shared" si="35"/>
        <v>334.45932367668092</v>
      </c>
      <c r="I16" s="175">
        <f>VLOOKUP($A16,'Fed Bs Rt+IME+GME+VBP+RAA+HAC'!$B$5:$AC$88,16,FALSE)</f>
        <v>62.925104987160069</v>
      </c>
      <c r="J16" s="175">
        <f t="shared" si="36"/>
        <v>0</v>
      </c>
      <c r="K16" s="175">
        <f t="shared" si="0"/>
        <v>0</v>
      </c>
      <c r="L16" s="294">
        <f>IF(OR(J16&gt;0,K16&gt;0,M16&gt;0),0,IF(VLOOKUP(A16,'Low Discharge'!A:C,3,FALSE)&lt;=L$3,L$1*C16,IF(VLOOKUP(A16,'Low Discharge'!A:C,3,FALSE)&gt;=L$2,0,(VLOOKUP(A16,'Low Discharge'!A:C,3,FALSE)-L$2)/(L$3-L$2)*L$1*C16)))</f>
        <v>0</v>
      </c>
      <c r="M16" s="170">
        <f>IF(VLOOKUP($A16,Characteristics!$A:$E,3,FALSE)=2,M$1*C16,0)</f>
        <v>0</v>
      </c>
      <c r="N16" s="170">
        <f>IF(VLOOKUP($A16,Characteristics!$A:$E,5,FALSE)&gt;=N$2,N$1*C16,IF(VLOOKUP($A16,Characteristics!$A:$E,5,FALSE)&lt;=N$3,0,(VLOOKUP($A16,Characteristics!$A:$E,5,FALSE)-N$3)/(N$2-N$3)*N$1*C16))</f>
        <v>366.48886628197363</v>
      </c>
      <c r="O16" s="170">
        <f>IF(VLOOKUP($A16,Characteristics!$A:$F,6,FALSE)&lt;=O$3,O$1*C16,IF(VLOOKUP($A16,Characteristics!$A:$F,6,FALSE)&gt;=O$2,0,(VLOOKUP($A16,Characteristics!$A:$F,6,FALSE)-O$2)/(O$3-O$2)*O$1*C16))</f>
        <v>0</v>
      </c>
      <c r="P16" s="175">
        <f t="shared" si="1"/>
        <v>7285.5955639458152</v>
      </c>
      <c r="Q16" s="175"/>
      <c r="R16" s="85">
        <v>5834.36</v>
      </c>
      <c r="S16" s="86">
        <f t="shared" si="37"/>
        <v>5980.2189999999991</v>
      </c>
      <c r="T16" s="85">
        <f t="shared" si="2"/>
        <v>24622508.03011445</v>
      </c>
      <c r="U16" s="88">
        <v>2342.8566000000001</v>
      </c>
      <c r="V16" s="89">
        <v>1.7573954266855256</v>
      </c>
      <c r="W16" s="90">
        <f t="shared" si="3"/>
        <v>29997168.21029833</v>
      </c>
      <c r="X16" s="98" t="s">
        <v>5</v>
      </c>
      <c r="Y16" s="85">
        <f t="shared" si="38"/>
        <v>5980.2189999999991</v>
      </c>
      <c r="Z16" s="85">
        <f t="shared" si="39"/>
        <v>5382.1970999999994</v>
      </c>
      <c r="AA16" s="85">
        <f t="shared" si="40"/>
        <v>6578.2408999999998</v>
      </c>
      <c r="AB16" s="230"/>
      <c r="AC16" s="101"/>
      <c r="AD16" s="85">
        <f t="shared" si="41"/>
        <v>6074.2467747578621</v>
      </c>
      <c r="AE16" s="85">
        <f t="shared" si="4"/>
        <v>25009650.98240922</v>
      </c>
      <c r="AF16" s="92">
        <f t="shared" si="42"/>
        <v>0</v>
      </c>
      <c r="AG16" s="92">
        <f t="shared" si="43"/>
        <v>0</v>
      </c>
      <c r="AH16" s="85">
        <f t="shared" si="44"/>
        <v>6074.2467747578621</v>
      </c>
      <c r="AI16" s="85">
        <f t="shared" si="5"/>
        <v>25009650.98240922</v>
      </c>
      <c r="AJ16" s="93">
        <f t="shared" si="6"/>
        <v>29997168.21029833</v>
      </c>
      <c r="AK16" s="93">
        <f t="shared" si="7"/>
        <v>24622508.03011445</v>
      </c>
      <c r="AL16" s="94">
        <f t="shared" si="45"/>
        <v>0</v>
      </c>
      <c r="AM16" s="95"/>
      <c r="AN16" s="85">
        <f t="shared" si="46"/>
        <v>6055.6601021620954</v>
      </c>
      <c r="AO16" s="85">
        <f t="shared" si="8"/>
        <v>24933123.601849683</v>
      </c>
      <c r="AP16" s="92">
        <f t="shared" si="47"/>
        <v>0</v>
      </c>
      <c r="AQ16" s="92">
        <f t="shared" si="48"/>
        <v>0</v>
      </c>
      <c r="AR16" s="85">
        <f t="shared" si="49"/>
        <v>6055.6601021620954</v>
      </c>
      <c r="AS16" s="85">
        <f t="shared" si="9"/>
        <v>24933123.601849683</v>
      </c>
      <c r="AT16" s="93">
        <f t="shared" si="10"/>
        <v>29997168.21029833</v>
      </c>
      <c r="AU16" s="93">
        <f t="shared" si="11"/>
        <v>24622508.03011445</v>
      </c>
      <c r="AV16" s="94">
        <f t="shared" si="12"/>
        <v>0</v>
      </c>
      <c r="AW16" s="92">
        <f t="shared" si="13"/>
        <v>0</v>
      </c>
      <c r="AX16" s="95"/>
      <c r="AY16" s="85">
        <f t="shared" si="50"/>
        <v>6066.3002621764763</v>
      </c>
      <c r="AZ16" s="85">
        <f t="shared" si="14"/>
        <v>24976932.60372667</v>
      </c>
      <c r="BA16" s="92">
        <f t="shared" si="51"/>
        <v>0</v>
      </c>
      <c r="BB16" s="92">
        <f t="shared" si="52"/>
        <v>0</v>
      </c>
      <c r="BC16" s="85">
        <f t="shared" si="53"/>
        <v>6066.3002621764763</v>
      </c>
      <c r="BD16" s="85">
        <f t="shared" si="15"/>
        <v>24976932.60372667</v>
      </c>
      <c r="BE16" s="96">
        <f t="shared" si="16"/>
        <v>29997168.21029833</v>
      </c>
      <c r="BF16" s="96">
        <f t="shared" si="17"/>
        <v>24622508.03011445</v>
      </c>
      <c r="BG16" s="94">
        <f t="shared" si="18"/>
        <v>0</v>
      </c>
      <c r="BH16" s="92">
        <f t="shared" si="19"/>
        <v>0</v>
      </c>
      <c r="BI16" s="95"/>
      <c r="BJ16" s="85">
        <f t="shared" si="54"/>
        <v>6066.3002621764763</v>
      </c>
      <c r="BK16" s="85">
        <f t="shared" si="20"/>
        <v>24976932.60372667</v>
      </c>
      <c r="BL16" s="92">
        <f t="shared" si="55"/>
        <v>0</v>
      </c>
      <c r="BM16" s="92">
        <f t="shared" si="56"/>
        <v>0</v>
      </c>
      <c r="BN16" s="85">
        <f t="shared" si="57"/>
        <v>6066.3002621764763</v>
      </c>
      <c r="BO16" s="85">
        <f t="shared" si="21"/>
        <v>24976932.60372667</v>
      </c>
      <c r="BP16" s="93">
        <f t="shared" si="22"/>
        <v>29997168.21029833</v>
      </c>
      <c r="BQ16" s="93">
        <f t="shared" si="23"/>
        <v>24622508.03011445</v>
      </c>
      <c r="BR16" s="94">
        <f t="shared" si="24"/>
        <v>0</v>
      </c>
      <c r="BS16" s="92">
        <f t="shared" si="25"/>
        <v>0</v>
      </c>
      <c r="BT16" s="95"/>
      <c r="BU16" s="85">
        <f t="shared" si="58"/>
        <v>6066.3002621764763</v>
      </c>
      <c r="BV16" s="85">
        <f t="shared" si="26"/>
        <v>24976932.60372667</v>
      </c>
      <c r="BW16" s="92">
        <f t="shared" si="59"/>
        <v>0</v>
      </c>
      <c r="BX16" s="92">
        <f t="shared" si="60"/>
        <v>0</v>
      </c>
      <c r="BY16" s="85">
        <f t="shared" si="61"/>
        <v>6066.3002621764763</v>
      </c>
      <c r="BZ16" s="85">
        <f t="shared" si="27"/>
        <v>24976932.60372667</v>
      </c>
      <c r="CA16" s="96">
        <f t="shared" si="28"/>
        <v>29997168.21029833</v>
      </c>
      <c r="CB16" s="96">
        <f t="shared" si="29"/>
        <v>24622508.03011445</v>
      </c>
      <c r="CC16" s="94">
        <f t="shared" si="30"/>
        <v>0</v>
      </c>
      <c r="CD16" s="92">
        <f t="shared" si="31"/>
        <v>0</v>
      </c>
      <c r="CE16" s="66"/>
      <c r="CF16" s="85">
        <f t="shared" si="62"/>
        <v>6066.3002621764763</v>
      </c>
      <c r="CG16" s="85">
        <f t="shared" si="32"/>
        <v>24976932.60372667</v>
      </c>
      <c r="CH16" s="92">
        <f t="shared" si="63"/>
        <v>0</v>
      </c>
      <c r="CI16" s="92">
        <f t="shared" si="64"/>
        <v>0</v>
      </c>
      <c r="CJ16" s="85">
        <f t="shared" si="65"/>
        <v>6066.3002621764763</v>
      </c>
      <c r="CK16" s="85">
        <f t="shared" si="33"/>
        <v>24976932.60372667</v>
      </c>
      <c r="CL16" s="97">
        <f t="shared" si="34"/>
        <v>1.014394332745419</v>
      </c>
      <c r="CM16" s="261"/>
      <c r="CN16" s="295">
        <f t="shared" si="66"/>
        <v>6187.63</v>
      </c>
      <c r="CP16" s="85">
        <f t="shared" si="67"/>
        <v>6187.63</v>
      </c>
      <c r="CQ16" s="85">
        <f t="shared" si="68"/>
        <v>5568.8670000000002</v>
      </c>
      <c r="CR16" s="85">
        <f t="shared" si="69"/>
        <v>6806.3930000000009</v>
      </c>
      <c r="CS16" s="295">
        <f t="shared" si="70"/>
        <v>6187.6262674200061</v>
      </c>
      <c r="CT16" s="295">
        <f t="shared" si="71"/>
        <v>6187.6262674200061</v>
      </c>
      <c r="CU16" s="303"/>
      <c r="CV16" s="303"/>
    </row>
    <row r="17" spans="1:100" s="153" customFormat="1" ht="15" customHeight="1" x14ac:dyDescent="0.3">
      <c r="A17" s="174">
        <v>60015</v>
      </c>
      <c r="B17" s="176" t="s">
        <v>270</v>
      </c>
      <c r="C17" s="175">
        <f>VLOOKUP($A17,'Fed Bs Rt+IME+GME+VBP+RAA+HAC'!$B$5:$AC$88,15,FALSE)</f>
        <v>6521.7222690000008</v>
      </c>
      <c r="D17" s="175">
        <f>VLOOKUP($A17,'Fed Bs Rt+IME+GME+VBP+RAA+HAC'!$B$5:$AC$88,21,FALSE)</f>
        <v>141.21605893101</v>
      </c>
      <c r="E17" s="175">
        <f>VLOOKUP($A17,'Fed Bs Rt+IME+GME+VBP+RAA+HAC'!$B$5:$AC$88,25,FALSE)</f>
        <v>-4.8438804863999394</v>
      </c>
      <c r="F17" s="175">
        <f>VLOOKUP($A17,'Fed Bs Rt+IME+GME+VBP+RAA+HAC'!$B$5:$AC$88,23,FALSE)</f>
        <v>-13.32067133759988</v>
      </c>
      <c r="G17" s="175">
        <f>VLOOKUP($A17,'Fed Bs Rt+IME+GME+VBP+RAA+HAC'!$B$5:$AC$88,28,FALSE)</f>
        <v>-65.217222690000014</v>
      </c>
      <c r="H17" s="175">
        <f t="shared" si="35"/>
        <v>57.834284417010167</v>
      </c>
      <c r="I17" s="175">
        <f>VLOOKUP($A17,'Fed Bs Rt+IME+GME+VBP+RAA+HAC'!$B$5:$AC$88,16,FALSE)</f>
        <v>2.7712214053276143</v>
      </c>
      <c r="J17" s="175">
        <f t="shared" si="36"/>
        <v>0</v>
      </c>
      <c r="K17" s="175">
        <f t="shared" si="0"/>
        <v>0</v>
      </c>
      <c r="L17" s="294">
        <f>IF(OR(J17&gt;0,K17&gt;0,M17&gt;0),0,IF(VLOOKUP(A17,'Low Discharge'!A:C,3,FALSE)&lt;=L$3,L$1*C17,IF(VLOOKUP(A17,'Low Discharge'!A:C,3,FALSE)&gt;=L$2,0,(VLOOKUP(A17,'Low Discharge'!A:C,3,FALSE)-L$2)/(L$3-L$2)*L$1*C17)))</f>
        <v>0</v>
      </c>
      <c r="M17" s="170">
        <f>IF(VLOOKUP($A17,Characteristics!$A:$E,3,FALSE)=2,M$1*C17,0)</f>
        <v>0</v>
      </c>
      <c r="N17" s="170">
        <f>IF(VLOOKUP($A17,Characteristics!$A:$E,5,FALSE)&gt;=N$2,N$1*C17,IF(VLOOKUP($A17,Characteristics!$A:$E,5,FALSE)&lt;=N$3,0,(VLOOKUP($A17,Characteristics!$A:$E,5,FALSE)-N$3)/(N$2-N$3)*N$1*C17))</f>
        <v>0</v>
      </c>
      <c r="O17" s="170">
        <f>IF(VLOOKUP($A17,Characteristics!$A:$F,6,FALSE)&lt;=O$3,O$1*C17,IF(VLOOKUP($A17,Characteristics!$A:$F,6,FALSE)&gt;=O$2,0,(VLOOKUP($A17,Characteristics!$A:$F,6,FALSE)-O$2)/(O$3-O$2)*O$1*C17))</f>
        <v>0</v>
      </c>
      <c r="P17" s="175">
        <f t="shared" si="1"/>
        <v>6582.3277748223381</v>
      </c>
      <c r="Q17" s="175"/>
      <c r="R17" s="85">
        <v>5327.18</v>
      </c>
      <c r="S17" s="86">
        <f t="shared" si="37"/>
        <v>5460.3594999999996</v>
      </c>
      <c r="T17" s="85">
        <f t="shared" si="2"/>
        <v>25204207.698684856</v>
      </c>
      <c r="U17" s="88">
        <v>1835.8452</v>
      </c>
      <c r="V17" s="89">
        <v>2.514292238267148</v>
      </c>
      <c r="W17" s="90">
        <f t="shared" si="3"/>
        <v>30383046.460117571</v>
      </c>
      <c r="X17" s="98" t="s">
        <v>5</v>
      </c>
      <c r="Y17" s="85">
        <f t="shared" si="38"/>
        <v>5460.3594999999996</v>
      </c>
      <c r="Z17" s="85">
        <f t="shared" si="39"/>
        <v>4914.3235500000001</v>
      </c>
      <c r="AA17" s="85">
        <f t="shared" si="40"/>
        <v>6006.39545</v>
      </c>
      <c r="AB17" s="230"/>
      <c r="AC17" s="99"/>
      <c r="AD17" s="85">
        <f t="shared" si="41"/>
        <v>5487.9086967818748</v>
      </c>
      <c r="AE17" s="85">
        <f t="shared" si="4"/>
        <v>25331370.695484303</v>
      </c>
      <c r="AF17" s="92">
        <f t="shared" si="42"/>
        <v>0</v>
      </c>
      <c r="AG17" s="92">
        <f t="shared" si="43"/>
        <v>0</v>
      </c>
      <c r="AH17" s="85">
        <f t="shared" si="44"/>
        <v>5487.9086967818748</v>
      </c>
      <c r="AI17" s="85">
        <f t="shared" si="5"/>
        <v>25331370.695484303</v>
      </c>
      <c r="AJ17" s="93">
        <f t="shared" si="6"/>
        <v>30383046.460117571</v>
      </c>
      <c r="AK17" s="93">
        <f t="shared" si="7"/>
        <v>25204207.698684856</v>
      </c>
      <c r="AL17" s="94">
        <f t="shared" si="45"/>
        <v>0</v>
      </c>
      <c r="AM17" s="95"/>
      <c r="AN17" s="85">
        <f t="shared" si="46"/>
        <v>5471.1161682651828</v>
      </c>
      <c r="AO17" s="85">
        <f t="shared" si="8"/>
        <v>25253858.880278584</v>
      </c>
      <c r="AP17" s="92">
        <f t="shared" si="47"/>
        <v>0</v>
      </c>
      <c r="AQ17" s="92">
        <f t="shared" si="48"/>
        <v>0</v>
      </c>
      <c r="AR17" s="85">
        <f t="shared" si="49"/>
        <v>5471.1161682651828</v>
      </c>
      <c r="AS17" s="85">
        <f t="shared" si="9"/>
        <v>25253858.880278584</v>
      </c>
      <c r="AT17" s="93">
        <f t="shared" si="10"/>
        <v>30383046.460117571</v>
      </c>
      <c r="AU17" s="93">
        <f t="shared" si="11"/>
        <v>25204207.698684856</v>
      </c>
      <c r="AV17" s="94">
        <f t="shared" si="12"/>
        <v>0</v>
      </c>
      <c r="AW17" s="92">
        <f t="shared" si="13"/>
        <v>0</v>
      </c>
      <c r="AX17" s="95"/>
      <c r="AY17" s="85">
        <f t="shared" si="50"/>
        <v>5480.7292493340528</v>
      </c>
      <c r="AZ17" s="85">
        <f t="shared" si="14"/>
        <v>25298231.433383208</v>
      </c>
      <c r="BA17" s="92">
        <f t="shared" si="51"/>
        <v>0</v>
      </c>
      <c r="BB17" s="92">
        <f t="shared" si="52"/>
        <v>0</v>
      </c>
      <c r="BC17" s="85">
        <f t="shared" si="53"/>
        <v>5480.7292493340528</v>
      </c>
      <c r="BD17" s="85">
        <f t="shared" si="15"/>
        <v>25298231.433383208</v>
      </c>
      <c r="BE17" s="96">
        <f t="shared" si="16"/>
        <v>30383046.460117571</v>
      </c>
      <c r="BF17" s="96">
        <f t="shared" si="17"/>
        <v>25204207.698684856</v>
      </c>
      <c r="BG17" s="94">
        <f t="shared" si="18"/>
        <v>0</v>
      </c>
      <c r="BH17" s="92">
        <f t="shared" si="19"/>
        <v>0</v>
      </c>
      <c r="BI17" s="95"/>
      <c r="BJ17" s="85">
        <f t="shared" si="54"/>
        <v>5480.7292493340528</v>
      </c>
      <c r="BK17" s="85">
        <f t="shared" si="20"/>
        <v>25298231.433383208</v>
      </c>
      <c r="BL17" s="92">
        <f t="shared" si="55"/>
        <v>0</v>
      </c>
      <c r="BM17" s="92">
        <f t="shared" si="56"/>
        <v>0</v>
      </c>
      <c r="BN17" s="85">
        <f t="shared" si="57"/>
        <v>5480.7292493340528</v>
      </c>
      <c r="BO17" s="85">
        <f t="shared" si="21"/>
        <v>25298231.433383208</v>
      </c>
      <c r="BP17" s="93">
        <f t="shared" si="22"/>
        <v>30383046.460117571</v>
      </c>
      <c r="BQ17" s="93">
        <f t="shared" si="23"/>
        <v>25204207.698684856</v>
      </c>
      <c r="BR17" s="94">
        <f t="shared" si="24"/>
        <v>0</v>
      </c>
      <c r="BS17" s="92">
        <f t="shared" si="25"/>
        <v>0</v>
      </c>
      <c r="BT17" s="95"/>
      <c r="BU17" s="85">
        <f t="shared" si="58"/>
        <v>5480.7292493340528</v>
      </c>
      <c r="BV17" s="85">
        <f t="shared" si="26"/>
        <v>25298231.433383208</v>
      </c>
      <c r="BW17" s="92">
        <f t="shared" si="59"/>
        <v>0</v>
      </c>
      <c r="BX17" s="92">
        <f t="shared" si="60"/>
        <v>0</v>
      </c>
      <c r="BY17" s="85">
        <f t="shared" si="61"/>
        <v>5480.7292493340528</v>
      </c>
      <c r="BZ17" s="85">
        <f t="shared" si="27"/>
        <v>25298231.433383208</v>
      </c>
      <c r="CA17" s="96">
        <f t="shared" si="28"/>
        <v>30383046.460117571</v>
      </c>
      <c r="CB17" s="96">
        <f t="shared" si="29"/>
        <v>25204207.698684856</v>
      </c>
      <c r="CC17" s="94">
        <f t="shared" si="30"/>
        <v>0</v>
      </c>
      <c r="CD17" s="92">
        <f t="shared" si="31"/>
        <v>0</v>
      </c>
      <c r="CE17" s="66"/>
      <c r="CF17" s="85">
        <f t="shared" si="62"/>
        <v>5480.7292493340528</v>
      </c>
      <c r="CG17" s="85">
        <f t="shared" si="32"/>
        <v>25298231.433383208</v>
      </c>
      <c r="CH17" s="92">
        <f t="shared" si="63"/>
        <v>0</v>
      </c>
      <c r="CI17" s="92">
        <f t="shared" si="64"/>
        <v>0</v>
      </c>
      <c r="CJ17" s="85">
        <f t="shared" si="65"/>
        <v>5480.7292493340528</v>
      </c>
      <c r="CK17" s="85">
        <f t="shared" si="33"/>
        <v>25298231.433383208</v>
      </c>
      <c r="CL17" s="97">
        <f t="shared" si="34"/>
        <v>1.0037304776973115</v>
      </c>
      <c r="CM17" s="261"/>
      <c r="CN17" s="295">
        <f t="shared" si="66"/>
        <v>5590.34</v>
      </c>
      <c r="CP17" s="85">
        <f t="shared" si="67"/>
        <v>5590.34</v>
      </c>
      <c r="CQ17" s="85">
        <f t="shared" si="68"/>
        <v>5031.3060000000005</v>
      </c>
      <c r="CR17" s="85">
        <f t="shared" si="69"/>
        <v>6149.3740000000007</v>
      </c>
      <c r="CS17" s="295">
        <f t="shared" si="70"/>
        <v>5590.3438343207335</v>
      </c>
      <c r="CT17" s="295">
        <f t="shared" si="71"/>
        <v>5590.3438343207335</v>
      </c>
      <c r="CU17" s="303"/>
      <c r="CV17" s="303"/>
    </row>
    <row r="18" spans="1:100" s="153" customFormat="1" ht="15" customHeight="1" x14ac:dyDescent="0.3">
      <c r="A18" s="174">
        <v>60020</v>
      </c>
      <c r="B18" s="176" t="s">
        <v>270</v>
      </c>
      <c r="C18" s="175">
        <f>VLOOKUP($A18,'Fed Bs Rt+IME+GME+VBP+RAA+HAC'!$B$5:$AC$88,15,FALSE)</f>
        <v>6521.7222690000008</v>
      </c>
      <c r="D18" s="175">
        <f>VLOOKUP($A18,'Fed Bs Rt+IME+GME+VBP+RAA+HAC'!$B$5:$AC$88,21,FALSE)</f>
        <v>571.12230291371998</v>
      </c>
      <c r="E18" s="175">
        <f>VLOOKUP($A18,'Fed Bs Rt+IME+GME+VBP+RAA+HAC'!$B$5:$AC$88,25,FALSE)</f>
        <v>-9.0822759120001137</v>
      </c>
      <c r="F18" s="175">
        <f>VLOOKUP($A18,'Fed Bs Rt+IME+GME+VBP+RAA+HAC'!$B$5:$AC$88,23,FALSE)</f>
        <v>-39.538174470240222</v>
      </c>
      <c r="G18" s="175">
        <f>VLOOKUP($A18,'Fed Bs Rt+IME+GME+VBP+RAA+HAC'!$B$5:$AC$88,28,FALSE)</f>
        <v>0</v>
      </c>
      <c r="H18" s="175">
        <f t="shared" si="35"/>
        <v>522.5018525314797</v>
      </c>
      <c r="I18" s="175">
        <f>VLOOKUP($A18,'Fed Bs Rt+IME+GME+VBP+RAA+HAC'!$B$5:$AC$88,16,FALSE)</f>
        <v>39.416580808658239</v>
      </c>
      <c r="J18" s="175">
        <f t="shared" si="36"/>
        <v>0</v>
      </c>
      <c r="K18" s="175">
        <f t="shared" si="0"/>
        <v>0</v>
      </c>
      <c r="L18" s="294">
        <f>IF(OR(J18&gt;0,K18&gt;0,M18&gt;0),0,IF(VLOOKUP(A18,'Low Discharge'!A:C,3,FALSE)&lt;=L$3,L$1*C18,IF(VLOOKUP(A18,'Low Discharge'!A:C,3,FALSE)&gt;=L$2,0,(VLOOKUP(A18,'Low Discharge'!A:C,3,FALSE)-L$2)/(L$3-L$2)*L$1*C18)))</f>
        <v>0</v>
      </c>
      <c r="M18" s="170">
        <f>IF(VLOOKUP($A18,Characteristics!$A:$E,3,FALSE)=2,M$1*C18,0)</f>
        <v>0</v>
      </c>
      <c r="N18" s="170">
        <f>IF(VLOOKUP($A18,Characteristics!$A:$E,5,FALSE)&gt;=N$2,N$1*C18,IF(VLOOKUP($A18,Characteristics!$A:$E,5,FALSE)&lt;=N$3,0,(VLOOKUP($A18,Characteristics!$A:$E,5,FALSE)-N$3)/(N$2-N$3)*N$1*C18))</f>
        <v>0</v>
      </c>
      <c r="O18" s="170">
        <f>IF(VLOOKUP($A18,Characteristics!$A:$F,6,FALSE)&lt;=O$3,O$1*C18,IF(VLOOKUP($A18,Characteristics!$A:$F,6,FALSE)&gt;=O$2,0,(VLOOKUP($A18,Characteristics!$A:$F,6,FALSE)-O$2)/(O$3-O$2)*O$1*C18))</f>
        <v>548.04138429467332</v>
      </c>
      <c r="P18" s="175">
        <f t="shared" si="1"/>
        <v>7631.6820866348125</v>
      </c>
      <c r="Q18" s="175"/>
      <c r="R18" s="85">
        <v>5728.97</v>
      </c>
      <c r="S18" s="86">
        <f t="shared" si="37"/>
        <v>5872.1942499999996</v>
      </c>
      <c r="T18" s="85">
        <f t="shared" si="2"/>
        <v>31282189.336798381</v>
      </c>
      <c r="U18" s="88">
        <v>4026.2669999999994</v>
      </c>
      <c r="V18" s="89">
        <v>1.3231045267489714</v>
      </c>
      <c r="W18" s="90">
        <f t="shared" si="3"/>
        <v>40655283.839147992</v>
      </c>
      <c r="X18" s="98" t="s">
        <v>5</v>
      </c>
      <c r="Y18" s="85">
        <f t="shared" si="38"/>
        <v>5872.1942499999996</v>
      </c>
      <c r="Z18" s="85">
        <f t="shared" si="39"/>
        <v>5284.9748249999993</v>
      </c>
      <c r="AA18" s="85">
        <f t="shared" si="40"/>
        <v>6459.4136749999998</v>
      </c>
      <c r="AB18" s="230"/>
      <c r="AC18" s="101"/>
      <c r="AD18" s="85">
        <f t="shared" si="41"/>
        <v>6362.7907826951168</v>
      </c>
      <c r="AE18" s="85">
        <f t="shared" si="4"/>
        <v>33895681.494988725</v>
      </c>
      <c r="AF18" s="92">
        <f t="shared" si="42"/>
        <v>0</v>
      </c>
      <c r="AG18" s="92">
        <f t="shared" si="43"/>
        <v>0</v>
      </c>
      <c r="AH18" s="85">
        <f t="shared" si="44"/>
        <v>6362.7907826951168</v>
      </c>
      <c r="AI18" s="85">
        <f t="shared" si="5"/>
        <v>33895681.494988725</v>
      </c>
      <c r="AJ18" s="93">
        <f t="shared" si="6"/>
        <v>40655283.839147992</v>
      </c>
      <c r="AK18" s="93">
        <f t="shared" si="7"/>
        <v>31282189.336798381</v>
      </c>
      <c r="AL18" s="94">
        <f t="shared" si="45"/>
        <v>0</v>
      </c>
      <c r="AM18" s="95"/>
      <c r="AN18" s="85">
        <f t="shared" si="46"/>
        <v>6343.321190256961</v>
      </c>
      <c r="AO18" s="85">
        <f t="shared" si="8"/>
        <v>33791963.625478417</v>
      </c>
      <c r="AP18" s="92">
        <f t="shared" si="47"/>
        <v>0</v>
      </c>
      <c r="AQ18" s="92">
        <f t="shared" si="48"/>
        <v>0</v>
      </c>
      <c r="AR18" s="85">
        <f t="shared" si="49"/>
        <v>6343.321190256961</v>
      </c>
      <c r="AS18" s="85">
        <f t="shared" si="9"/>
        <v>33791963.625478417</v>
      </c>
      <c r="AT18" s="93">
        <f t="shared" si="10"/>
        <v>40655283.839147992</v>
      </c>
      <c r="AU18" s="93">
        <f t="shared" si="11"/>
        <v>31282189.336798381</v>
      </c>
      <c r="AV18" s="94">
        <f t="shared" si="12"/>
        <v>0</v>
      </c>
      <c r="AW18" s="92">
        <f t="shared" si="13"/>
        <v>0</v>
      </c>
      <c r="AX18" s="95"/>
      <c r="AY18" s="85">
        <f t="shared" si="50"/>
        <v>6354.4667881518708</v>
      </c>
      <c r="AZ18" s="85">
        <f t="shared" si="14"/>
        <v>33851338.143550672</v>
      </c>
      <c r="BA18" s="92">
        <f t="shared" si="51"/>
        <v>0</v>
      </c>
      <c r="BB18" s="92">
        <f t="shared" si="52"/>
        <v>0</v>
      </c>
      <c r="BC18" s="85">
        <f t="shared" si="53"/>
        <v>6354.4667881518708</v>
      </c>
      <c r="BD18" s="85">
        <f t="shared" si="15"/>
        <v>33851338.143550672</v>
      </c>
      <c r="BE18" s="96">
        <f t="shared" si="16"/>
        <v>40655283.839147992</v>
      </c>
      <c r="BF18" s="96">
        <f t="shared" si="17"/>
        <v>31282189.336798381</v>
      </c>
      <c r="BG18" s="94">
        <f t="shared" si="18"/>
        <v>0</v>
      </c>
      <c r="BH18" s="92">
        <f t="shared" si="19"/>
        <v>0</v>
      </c>
      <c r="BI18" s="95"/>
      <c r="BJ18" s="85">
        <f t="shared" si="54"/>
        <v>6354.4667881518708</v>
      </c>
      <c r="BK18" s="85">
        <f t="shared" si="20"/>
        <v>33851338.143550672</v>
      </c>
      <c r="BL18" s="92">
        <f t="shared" si="55"/>
        <v>0</v>
      </c>
      <c r="BM18" s="92">
        <f t="shared" si="56"/>
        <v>0</v>
      </c>
      <c r="BN18" s="85">
        <f t="shared" si="57"/>
        <v>6354.4667881518708</v>
      </c>
      <c r="BO18" s="85">
        <f t="shared" si="21"/>
        <v>33851338.143550672</v>
      </c>
      <c r="BP18" s="93">
        <f t="shared" si="22"/>
        <v>40655283.839147992</v>
      </c>
      <c r="BQ18" s="93">
        <f t="shared" si="23"/>
        <v>31282189.336798381</v>
      </c>
      <c r="BR18" s="94">
        <f t="shared" si="24"/>
        <v>0</v>
      </c>
      <c r="BS18" s="92">
        <f t="shared" si="25"/>
        <v>0</v>
      </c>
      <c r="BT18" s="95"/>
      <c r="BU18" s="85">
        <f t="shared" si="58"/>
        <v>6354.4667881518708</v>
      </c>
      <c r="BV18" s="85">
        <f t="shared" si="26"/>
        <v>33851338.143550672</v>
      </c>
      <c r="BW18" s="92">
        <f t="shared" si="59"/>
        <v>0</v>
      </c>
      <c r="BX18" s="92">
        <f t="shared" si="60"/>
        <v>0</v>
      </c>
      <c r="BY18" s="85">
        <f t="shared" si="61"/>
        <v>6354.4667881518708</v>
      </c>
      <c r="BZ18" s="85">
        <f t="shared" si="27"/>
        <v>33851338.143550672</v>
      </c>
      <c r="CA18" s="96">
        <f t="shared" si="28"/>
        <v>40655283.839147992</v>
      </c>
      <c r="CB18" s="96">
        <f t="shared" si="29"/>
        <v>31282189.336798381</v>
      </c>
      <c r="CC18" s="94">
        <f t="shared" si="30"/>
        <v>0</v>
      </c>
      <c r="CD18" s="92">
        <f t="shared" si="31"/>
        <v>0</v>
      </c>
      <c r="CE18" s="66"/>
      <c r="CF18" s="85">
        <f t="shared" si="62"/>
        <v>6354.4667881518708</v>
      </c>
      <c r="CG18" s="85">
        <f t="shared" si="32"/>
        <v>33851338.143550672</v>
      </c>
      <c r="CH18" s="92">
        <f t="shared" si="63"/>
        <v>0</v>
      </c>
      <c r="CI18" s="92">
        <f t="shared" si="64"/>
        <v>0</v>
      </c>
      <c r="CJ18" s="85">
        <f t="shared" si="65"/>
        <v>6354.4667881518708</v>
      </c>
      <c r="CK18" s="85">
        <f t="shared" si="33"/>
        <v>33851338.143550672</v>
      </c>
      <c r="CL18" s="97">
        <f t="shared" si="34"/>
        <v>1.0821281649788528</v>
      </c>
      <c r="CM18" s="261"/>
      <c r="CN18" s="295">
        <f t="shared" si="66"/>
        <v>6481.56</v>
      </c>
      <c r="CP18" s="85">
        <f t="shared" si="67"/>
        <v>6481.56</v>
      </c>
      <c r="CQ18" s="85">
        <f t="shared" si="68"/>
        <v>5833.4040000000005</v>
      </c>
      <c r="CR18" s="85">
        <f t="shared" si="69"/>
        <v>7129.7160000000013</v>
      </c>
      <c r="CS18" s="295">
        <f t="shared" si="70"/>
        <v>6481.5561239149083</v>
      </c>
      <c r="CT18" s="295">
        <f t="shared" si="71"/>
        <v>6481.5561239149083</v>
      </c>
      <c r="CU18" s="303"/>
      <c r="CV18" s="303"/>
    </row>
    <row r="19" spans="1:100" s="153" customFormat="1" ht="15" customHeight="1" x14ac:dyDescent="0.3">
      <c r="A19" s="174">
        <v>60022</v>
      </c>
      <c r="B19" s="176" t="s">
        <v>270</v>
      </c>
      <c r="C19" s="175">
        <f>VLOOKUP($A19,'Fed Bs Rt+IME+GME+VBP+RAA+HAC'!$B$5:$AC$88,15,FALSE)</f>
        <v>6521.7222690000008</v>
      </c>
      <c r="D19" s="175">
        <f>VLOOKUP($A19,'Fed Bs Rt+IME+GME+VBP+RAA+HAC'!$B$5:$AC$88,21,FALSE)</f>
        <v>0</v>
      </c>
      <c r="E19" s="175">
        <f>VLOOKUP($A19,'Fed Bs Rt+IME+GME+VBP+RAA+HAC'!$B$5:$AC$88,25,FALSE)</f>
        <v>-4.8438804863999394</v>
      </c>
      <c r="F19" s="175">
        <f>VLOOKUP($A19,'Fed Bs Rt+IME+GME+VBP+RAA+HAC'!$B$5:$AC$88,23,FALSE)</f>
        <v>-29.789864991360218</v>
      </c>
      <c r="G19" s="175">
        <f>VLOOKUP($A19,'Fed Bs Rt+IME+GME+VBP+RAA+HAC'!$B$5:$AC$88,28,FALSE)</f>
        <v>0</v>
      </c>
      <c r="H19" s="175">
        <f t="shared" si="35"/>
        <v>-34.633745477760158</v>
      </c>
      <c r="I19" s="175">
        <f>VLOOKUP($A19,'Fed Bs Rt+IME+GME+VBP+RAA+HAC'!$B$5:$AC$88,16,FALSE)</f>
        <v>0</v>
      </c>
      <c r="J19" s="175">
        <f t="shared" si="36"/>
        <v>0</v>
      </c>
      <c r="K19" s="175">
        <f t="shared" si="0"/>
        <v>0</v>
      </c>
      <c r="L19" s="294">
        <f>IF(OR(J19&gt;0,K19&gt;0,M19&gt;0),0,IF(VLOOKUP(A19,'Low Discharge'!A:C,3,FALSE)&lt;=L$3,L$1*C19,IF(VLOOKUP(A19,'Low Discharge'!A:C,3,FALSE)&gt;=L$2,0,(VLOOKUP(A19,'Low Discharge'!A:C,3,FALSE)-L$2)/(L$3-L$2)*L$1*C19)))</f>
        <v>0</v>
      </c>
      <c r="M19" s="170">
        <f>IF(VLOOKUP($A19,Characteristics!$A:$E,3,FALSE)=2,M$1*C19,0)</f>
        <v>0</v>
      </c>
      <c r="N19" s="170">
        <f>IF(VLOOKUP($A19,Characteristics!$A:$E,5,FALSE)&gt;=N$2,N$1*C19,IF(VLOOKUP($A19,Characteristics!$A:$E,5,FALSE)&lt;=N$3,0,(VLOOKUP($A19,Characteristics!$A:$E,5,FALSE)-N$3)/(N$2-N$3)*N$1*C19))</f>
        <v>129.34315777525853</v>
      </c>
      <c r="O19" s="170">
        <f>IF(VLOOKUP($A19,Characteristics!$A:$F,6,FALSE)&lt;=O$3,O$1*C19,IF(VLOOKUP($A19,Characteristics!$A:$F,6,FALSE)&gt;=O$2,0,(VLOOKUP($A19,Characteristics!$A:$F,6,FALSE)-O$2)/(O$3-O$2)*O$1*C19))</f>
        <v>0</v>
      </c>
      <c r="P19" s="175">
        <f t="shared" si="1"/>
        <v>6616.4316812974994</v>
      </c>
      <c r="Q19" s="175"/>
      <c r="R19" s="85">
        <v>5468.91</v>
      </c>
      <c r="S19" s="86">
        <f t="shared" si="37"/>
        <v>5605.6327499999998</v>
      </c>
      <c r="T19" s="85">
        <f t="shared" si="2"/>
        <v>53970738.087772407</v>
      </c>
      <c r="U19" s="88">
        <v>7015.3145999999997</v>
      </c>
      <c r="V19" s="89">
        <v>1.3724185010234609</v>
      </c>
      <c r="W19" s="90">
        <f t="shared" si="3"/>
        <v>63702657.17941422</v>
      </c>
      <c r="X19" s="98" t="s">
        <v>5</v>
      </c>
      <c r="Y19" s="85">
        <f t="shared" si="38"/>
        <v>5605.6327499999998</v>
      </c>
      <c r="Z19" s="85">
        <f t="shared" si="39"/>
        <v>5045.0694750000002</v>
      </c>
      <c r="AA19" s="85">
        <f t="shared" si="40"/>
        <v>6166.1960250000002</v>
      </c>
      <c r="AB19" s="230"/>
      <c r="AC19" s="99"/>
      <c r="AD19" s="85">
        <f t="shared" si="41"/>
        <v>5516.3422739815942</v>
      </c>
      <c r="AE19" s="85">
        <f t="shared" si="4"/>
        <v>53111054.068172321</v>
      </c>
      <c r="AF19" s="92">
        <f t="shared" si="42"/>
        <v>0</v>
      </c>
      <c r="AG19" s="92">
        <f t="shared" si="43"/>
        <v>0</v>
      </c>
      <c r="AH19" s="85">
        <f t="shared" si="44"/>
        <v>5516.3422739815942</v>
      </c>
      <c r="AI19" s="85">
        <f t="shared" si="5"/>
        <v>53111054.068172321</v>
      </c>
      <c r="AJ19" s="93">
        <f t="shared" si="6"/>
        <v>63702657.17941422</v>
      </c>
      <c r="AK19" s="93">
        <f t="shared" si="7"/>
        <v>53970738.087772407</v>
      </c>
      <c r="AL19" s="94">
        <f t="shared" si="45"/>
        <v>0</v>
      </c>
      <c r="AM19" s="95"/>
      <c r="AN19" s="85">
        <f t="shared" si="46"/>
        <v>5499.4627411646607</v>
      </c>
      <c r="AO19" s="85">
        <f t="shared" si="8"/>
        <v>52948538.811583892</v>
      </c>
      <c r="AP19" s="92">
        <f t="shared" si="47"/>
        <v>0</v>
      </c>
      <c r="AQ19" s="92">
        <f t="shared" si="48"/>
        <v>0</v>
      </c>
      <c r="AR19" s="85">
        <f t="shared" si="49"/>
        <v>5499.4627411646607</v>
      </c>
      <c r="AS19" s="85">
        <f t="shared" si="9"/>
        <v>52948538.811583892</v>
      </c>
      <c r="AT19" s="93">
        <f t="shared" si="10"/>
        <v>63702657.17941422</v>
      </c>
      <c r="AU19" s="93">
        <f t="shared" si="11"/>
        <v>53970738.087772407</v>
      </c>
      <c r="AV19" s="94">
        <f t="shared" si="12"/>
        <v>0</v>
      </c>
      <c r="AW19" s="92">
        <f t="shared" si="13"/>
        <v>0</v>
      </c>
      <c r="AX19" s="95"/>
      <c r="AY19" s="85">
        <f t="shared" si="50"/>
        <v>5509.1256288716868</v>
      </c>
      <c r="AZ19" s="85">
        <f t="shared" si="14"/>
        <v>53041572.587584913</v>
      </c>
      <c r="BA19" s="92">
        <f t="shared" si="51"/>
        <v>0</v>
      </c>
      <c r="BB19" s="92">
        <f t="shared" si="52"/>
        <v>0</v>
      </c>
      <c r="BC19" s="85">
        <f t="shared" si="53"/>
        <v>5509.1256288716868</v>
      </c>
      <c r="BD19" s="85">
        <f t="shared" si="15"/>
        <v>53041572.587584913</v>
      </c>
      <c r="BE19" s="96">
        <f t="shared" si="16"/>
        <v>63702657.17941422</v>
      </c>
      <c r="BF19" s="96">
        <f t="shared" si="17"/>
        <v>53970738.087772407</v>
      </c>
      <c r="BG19" s="94">
        <f t="shared" si="18"/>
        <v>0</v>
      </c>
      <c r="BH19" s="92">
        <f t="shared" si="19"/>
        <v>0</v>
      </c>
      <c r="BI19" s="95"/>
      <c r="BJ19" s="85">
        <f t="shared" si="54"/>
        <v>5509.1256288716868</v>
      </c>
      <c r="BK19" s="85">
        <f t="shared" si="20"/>
        <v>53041572.587584913</v>
      </c>
      <c r="BL19" s="92">
        <f t="shared" si="55"/>
        <v>0</v>
      </c>
      <c r="BM19" s="92">
        <f t="shared" si="56"/>
        <v>0</v>
      </c>
      <c r="BN19" s="85">
        <f t="shared" si="57"/>
        <v>5509.1256288716868</v>
      </c>
      <c r="BO19" s="85">
        <f t="shared" si="21"/>
        <v>53041572.587584913</v>
      </c>
      <c r="BP19" s="93">
        <f t="shared" si="22"/>
        <v>63702657.17941422</v>
      </c>
      <c r="BQ19" s="93">
        <f t="shared" si="23"/>
        <v>53970738.087772407</v>
      </c>
      <c r="BR19" s="94">
        <f t="shared" si="24"/>
        <v>0</v>
      </c>
      <c r="BS19" s="92">
        <f t="shared" si="25"/>
        <v>0</v>
      </c>
      <c r="BT19" s="95"/>
      <c r="BU19" s="85">
        <f t="shared" si="58"/>
        <v>5509.1256288716868</v>
      </c>
      <c r="BV19" s="85">
        <f t="shared" si="26"/>
        <v>53041572.587584913</v>
      </c>
      <c r="BW19" s="92">
        <f t="shared" si="59"/>
        <v>0</v>
      </c>
      <c r="BX19" s="92">
        <f t="shared" si="60"/>
        <v>0</v>
      </c>
      <c r="BY19" s="85">
        <f t="shared" si="61"/>
        <v>5509.1256288716868</v>
      </c>
      <c r="BZ19" s="85">
        <f t="shared" si="27"/>
        <v>53041572.587584913</v>
      </c>
      <c r="CA19" s="96">
        <f t="shared" si="28"/>
        <v>63702657.17941422</v>
      </c>
      <c r="CB19" s="96">
        <f t="shared" si="29"/>
        <v>53970738.087772407</v>
      </c>
      <c r="CC19" s="94">
        <f t="shared" si="30"/>
        <v>0</v>
      </c>
      <c r="CD19" s="92">
        <f t="shared" si="31"/>
        <v>0</v>
      </c>
      <c r="CE19" s="66"/>
      <c r="CF19" s="85">
        <f t="shared" si="62"/>
        <v>5509.1256288716868</v>
      </c>
      <c r="CG19" s="85">
        <f t="shared" si="32"/>
        <v>53041572.587584913</v>
      </c>
      <c r="CH19" s="92">
        <f t="shared" si="63"/>
        <v>0</v>
      </c>
      <c r="CI19" s="92">
        <f t="shared" si="64"/>
        <v>0</v>
      </c>
      <c r="CJ19" s="85">
        <f t="shared" si="65"/>
        <v>5509.1256288716868</v>
      </c>
      <c r="CK19" s="85">
        <f t="shared" si="33"/>
        <v>53041572.587584913</v>
      </c>
      <c r="CL19" s="97">
        <f t="shared" si="34"/>
        <v>0.98278390229393586</v>
      </c>
      <c r="CM19" s="261"/>
      <c r="CN19" s="295">
        <f t="shared" si="66"/>
        <v>5619.31</v>
      </c>
      <c r="CP19" s="85">
        <f t="shared" si="67"/>
        <v>5619.31</v>
      </c>
      <c r="CQ19" s="85">
        <f t="shared" si="68"/>
        <v>5057.3790000000008</v>
      </c>
      <c r="CR19" s="85">
        <f t="shared" si="69"/>
        <v>6181.2410000000009</v>
      </c>
      <c r="CS19" s="295">
        <f t="shared" si="70"/>
        <v>5619.3081414491207</v>
      </c>
      <c r="CT19" s="295">
        <f t="shared" si="71"/>
        <v>5619.3081414491207</v>
      </c>
      <c r="CU19" s="303"/>
      <c r="CV19" s="303"/>
    </row>
    <row r="20" spans="1:100" s="153" customFormat="1" ht="15" customHeight="1" x14ac:dyDescent="0.3">
      <c r="A20" s="174">
        <v>60023</v>
      </c>
      <c r="B20" s="176" t="s">
        <v>271</v>
      </c>
      <c r="C20" s="175">
        <f>VLOOKUP($A20,'Fed Bs Rt+IME+GME+VBP+RAA+HAC'!$B$5:$AC$88,15,FALSE)</f>
        <v>6521.7222690000008</v>
      </c>
      <c r="D20" s="175">
        <f>VLOOKUP($A20,'Fed Bs Rt+IME+GME+VBP+RAA+HAC'!$B$5:$AC$88,21,FALSE)</f>
        <v>242.18191190664001</v>
      </c>
      <c r="E20" s="175">
        <f>VLOOKUP($A20,'Fed Bs Rt+IME+GME+VBP+RAA+HAC'!$B$5:$AC$88,25,FALSE)</f>
        <v>-6.054850608000379</v>
      </c>
      <c r="F20" s="175">
        <f>VLOOKUP($A20,'Fed Bs Rt+IME+GME+VBP+RAA+HAC'!$B$5:$AC$88,23,FALSE)</f>
        <v>-24.94598450496008</v>
      </c>
      <c r="G20" s="175">
        <f>VLOOKUP($A20,'Fed Bs Rt+IME+GME+VBP+RAA+HAC'!$B$5:$AC$88,28,FALSE)</f>
        <v>0</v>
      </c>
      <c r="H20" s="175">
        <f t="shared" si="35"/>
        <v>211.18107679367955</v>
      </c>
      <c r="I20" s="175">
        <f>VLOOKUP($A20,'Fed Bs Rt+IME+GME+VBP+RAA+HAC'!$B$5:$AC$88,16,FALSE)</f>
        <v>33.674678554089944</v>
      </c>
      <c r="J20" s="175">
        <f t="shared" si="36"/>
        <v>0</v>
      </c>
      <c r="K20" s="175">
        <f t="shared" si="0"/>
        <v>1304.3444538000003</v>
      </c>
      <c r="L20" s="294">
        <f>IF(OR(J20&gt;0,K20&gt;0,M20&gt;0),0,IF(VLOOKUP(A20,'Low Discharge'!A:C,3,FALSE)&lt;=L$3,L$1*C20,IF(VLOOKUP(A20,'Low Discharge'!A:C,3,FALSE)&gt;=L$2,0,(VLOOKUP(A20,'Low Discharge'!A:C,3,FALSE)-L$2)/(L$3-L$2)*L$1*C20)))</f>
        <v>0</v>
      </c>
      <c r="M20" s="170">
        <f>IF(VLOOKUP($A20,Characteristics!$A:$E,3,FALSE)=2,M$1*C20,0)</f>
        <v>0</v>
      </c>
      <c r="N20" s="170">
        <f>IF(VLOOKUP($A20,Characteristics!$A:$E,5,FALSE)&gt;=N$2,N$1*C20,IF(VLOOKUP($A20,Characteristics!$A:$E,5,FALSE)&lt;=N$3,0,(VLOOKUP($A20,Characteristics!$A:$E,5,FALSE)-N$3)/(N$2-N$3)*N$1*C20))</f>
        <v>0</v>
      </c>
      <c r="O20" s="170">
        <f>IF(VLOOKUP($A20,Characteristics!$A:$F,6,FALSE)&lt;=O$3,O$1*C20,IF(VLOOKUP($A20,Characteristics!$A:$F,6,FALSE)&gt;=O$2,0,(VLOOKUP($A20,Characteristics!$A:$F,6,FALSE)-O$2)/(O$3-O$2)*O$1*C20))</f>
        <v>0</v>
      </c>
      <c r="P20" s="175">
        <f t="shared" si="1"/>
        <v>8070.9224781477706</v>
      </c>
      <c r="Q20" s="175"/>
      <c r="R20" s="85">
        <v>5711.36</v>
      </c>
      <c r="S20" s="86">
        <f t="shared" si="37"/>
        <v>5854.1439999999993</v>
      </c>
      <c r="T20" s="85">
        <f t="shared" si="2"/>
        <v>10099349.125747632</v>
      </c>
      <c r="U20" s="88">
        <v>1417.2018</v>
      </c>
      <c r="V20" s="89">
        <v>1.2173018706157444</v>
      </c>
      <c r="W20" s="90">
        <f t="shared" si="3"/>
        <v>13923652.010209966</v>
      </c>
      <c r="X20" s="98" t="s">
        <v>5</v>
      </c>
      <c r="Y20" s="85">
        <f t="shared" si="38"/>
        <v>5854.1439999999993</v>
      </c>
      <c r="Z20" s="85">
        <f t="shared" si="39"/>
        <v>5268.7295999999997</v>
      </c>
      <c r="AA20" s="85">
        <f t="shared" si="40"/>
        <v>6439.5583999999999</v>
      </c>
      <c r="AB20" s="230"/>
      <c r="AC20" s="101"/>
      <c r="AD20" s="85">
        <f t="shared" si="41"/>
        <v>6729.000313278224</v>
      </c>
      <c r="AE20" s="85">
        <f t="shared" si="4"/>
        <v>11608618.344725033</v>
      </c>
      <c r="AF20" s="92">
        <f t="shared" si="42"/>
        <v>0</v>
      </c>
      <c r="AG20" s="92">
        <f t="shared" si="43"/>
        <v>1</v>
      </c>
      <c r="AH20" s="85">
        <f t="shared" si="44"/>
        <v>6439.5583999999999</v>
      </c>
      <c r="AI20" s="85">
        <f t="shared" si="5"/>
        <v>11109284.038322398</v>
      </c>
      <c r="AJ20" s="93">
        <f t="shared" si="6"/>
        <v>13923652.010209966</v>
      </c>
      <c r="AK20" s="93">
        <f t="shared" si="7"/>
        <v>10099349.125747632</v>
      </c>
      <c r="AL20" s="94">
        <f t="shared" si="45"/>
        <v>0</v>
      </c>
      <c r="AM20" s="95"/>
      <c r="AN20" s="85">
        <f t="shared" si="46"/>
        <v>6708.4101511795334</v>
      </c>
      <c r="AO20" s="85">
        <f t="shared" si="8"/>
        <v>11573096.971217582</v>
      </c>
      <c r="AP20" s="92">
        <f t="shared" si="47"/>
        <v>0</v>
      </c>
      <c r="AQ20" s="92">
        <f t="shared" si="48"/>
        <v>1</v>
      </c>
      <c r="AR20" s="85">
        <f t="shared" si="49"/>
        <v>6439.5583999999999</v>
      </c>
      <c r="AS20" s="85">
        <f t="shared" si="9"/>
        <v>11109284.038322398</v>
      </c>
      <c r="AT20" s="93">
        <f t="shared" si="10"/>
        <v>0</v>
      </c>
      <c r="AU20" s="93">
        <f t="shared" si="11"/>
        <v>-1009934.9125747662</v>
      </c>
      <c r="AV20" s="94">
        <f t="shared" si="12"/>
        <v>1</v>
      </c>
      <c r="AW20" s="92">
        <f t="shared" si="13"/>
        <v>1</v>
      </c>
      <c r="AX20" s="95"/>
      <c r="AY20" s="85">
        <f t="shared" si="50"/>
        <v>6439.5583999999999</v>
      </c>
      <c r="AZ20" s="85">
        <f t="shared" si="14"/>
        <v>11109284.038322398</v>
      </c>
      <c r="BA20" s="92">
        <f t="shared" si="51"/>
        <v>0</v>
      </c>
      <c r="BB20" s="92">
        <f t="shared" si="52"/>
        <v>1</v>
      </c>
      <c r="BC20" s="85">
        <f t="shared" si="53"/>
        <v>6439.5583999999999</v>
      </c>
      <c r="BD20" s="85">
        <f t="shared" si="15"/>
        <v>11109284.038322398</v>
      </c>
      <c r="BE20" s="96">
        <f t="shared" si="16"/>
        <v>0</v>
      </c>
      <c r="BF20" s="96">
        <f t="shared" si="17"/>
        <v>-1009934.9125747662</v>
      </c>
      <c r="BG20" s="94">
        <f t="shared" si="18"/>
        <v>1</v>
      </c>
      <c r="BH20" s="92">
        <f t="shared" si="19"/>
        <v>0</v>
      </c>
      <c r="BI20" s="95"/>
      <c r="BJ20" s="85">
        <f t="shared" si="54"/>
        <v>6439.5583999999999</v>
      </c>
      <c r="BK20" s="85">
        <f t="shared" si="20"/>
        <v>11109284.038322398</v>
      </c>
      <c r="BL20" s="92">
        <f t="shared" si="55"/>
        <v>0</v>
      </c>
      <c r="BM20" s="92">
        <f t="shared" si="56"/>
        <v>1</v>
      </c>
      <c r="BN20" s="85">
        <f t="shared" si="57"/>
        <v>6439.5583999999999</v>
      </c>
      <c r="BO20" s="85">
        <f t="shared" si="21"/>
        <v>11109284.038322398</v>
      </c>
      <c r="BP20" s="93">
        <f t="shared" si="22"/>
        <v>0</v>
      </c>
      <c r="BQ20" s="93">
        <f t="shared" si="23"/>
        <v>-1009934.9125747662</v>
      </c>
      <c r="BR20" s="94">
        <f t="shared" si="24"/>
        <v>1</v>
      </c>
      <c r="BS20" s="92">
        <f t="shared" si="25"/>
        <v>0</v>
      </c>
      <c r="BT20" s="95"/>
      <c r="BU20" s="85">
        <f t="shared" si="58"/>
        <v>6439.5583999999999</v>
      </c>
      <c r="BV20" s="85">
        <f t="shared" si="26"/>
        <v>11109284.038322398</v>
      </c>
      <c r="BW20" s="92">
        <f t="shared" si="59"/>
        <v>0</v>
      </c>
      <c r="BX20" s="92">
        <f t="shared" si="60"/>
        <v>1</v>
      </c>
      <c r="BY20" s="85">
        <f t="shared" si="61"/>
        <v>6439.5583999999999</v>
      </c>
      <c r="BZ20" s="85">
        <f t="shared" si="27"/>
        <v>11109284.038322398</v>
      </c>
      <c r="CA20" s="96">
        <f t="shared" si="28"/>
        <v>0</v>
      </c>
      <c r="CB20" s="96">
        <f t="shared" si="29"/>
        <v>-1009934.9125747662</v>
      </c>
      <c r="CC20" s="94">
        <f t="shared" si="30"/>
        <v>1</v>
      </c>
      <c r="CD20" s="92">
        <f t="shared" si="31"/>
        <v>0</v>
      </c>
      <c r="CE20" s="66"/>
      <c r="CF20" s="85">
        <f t="shared" si="62"/>
        <v>6720.1972323971795</v>
      </c>
      <c r="CG20" s="85">
        <f t="shared" si="32"/>
        <v>11593431.600565707</v>
      </c>
      <c r="CH20" s="92">
        <f t="shared" si="63"/>
        <v>0</v>
      </c>
      <c r="CI20" s="92">
        <f t="shared" si="64"/>
        <v>1</v>
      </c>
      <c r="CJ20" s="85">
        <f t="shared" si="65"/>
        <v>6439.5583999999999</v>
      </c>
      <c r="CK20" s="85">
        <f t="shared" si="33"/>
        <v>11109284.038322398</v>
      </c>
      <c r="CL20" s="97">
        <f t="shared" si="34"/>
        <v>1.1000000000000001</v>
      </c>
      <c r="CM20" s="261"/>
      <c r="CN20" s="295">
        <f t="shared" si="66"/>
        <v>6568.35</v>
      </c>
      <c r="CP20" s="85">
        <f t="shared" si="67"/>
        <v>6568.35</v>
      </c>
      <c r="CQ20" s="85">
        <f t="shared" si="68"/>
        <v>5911.5150000000003</v>
      </c>
      <c r="CR20" s="85">
        <f t="shared" si="69"/>
        <v>7225.1850000000013</v>
      </c>
      <c r="CS20" s="295">
        <f t="shared" si="70"/>
        <v>6854.6011770451232</v>
      </c>
      <c r="CT20" s="295">
        <f t="shared" si="71"/>
        <v>6854.6011770451232</v>
      </c>
      <c r="CU20" s="303"/>
      <c r="CV20" s="303"/>
    </row>
    <row r="21" spans="1:100" s="153" customFormat="1" ht="15" customHeight="1" x14ac:dyDescent="0.3">
      <c r="A21" s="174">
        <v>60024</v>
      </c>
      <c r="B21" s="176" t="s">
        <v>270</v>
      </c>
      <c r="C21" s="175">
        <f>VLOOKUP($A21,'Fed Bs Rt+IME+GME+VBP+RAA+HAC'!$B$5:$AC$88,15,FALSE)</f>
        <v>6521.7222690000008</v>
      </c>
      <c r="D21" s="175">
        <f>VLOOKUP($A21,'Fed Bs Rt+IME+GME+VBP+RAA+HAC'!$B$5:$AC$88,21,FALSE)</f>
        <v>1437.2322699410101</v>
      </c>
      <c r="E21" s="175">
        <f>VLOOKUP($A21,'Fed Bs Rt+IME+GME+VBP+RAA+HAC'!$B$5:$AC$88,25,FALSE)</f>
        <v>-15.137126519999583</v>
      </c>
      <c r="F21" s="175">
        <f>VLOOKUP($A21,'Fed Bs Rt+IME+GME+VBP+RAA+HAC'!$B$5:$AC$88,23,FALSE)</f>
        <v>-9.4455669484800371</v>
      </c>
      <c r="G21" s="175">
        <f>VLOOKUP($A21,'Fed Bs Rt+IME+GME+VBP+RAA+HAC'!$B$5:$AC$88,28,FALSE)</f>
        <v>-65.217222690000014</v>
      </c>
      <c r="H21" s="175">
        <f t="shared" si="35"/>
        <v>1347.4323537825305</v>
      </c>
      <c r="I21" s="224">
        <f>VLOOKUP($A21,'Fed Bs Rt+IME+GME+VBP+RAA+HAC'!$B$5:$AC$88,16,FALSE)</f>
        <v>0</v>
      </c>
      <c r="J21" s="175">
        <f t="shared" si="36"/>
        <v>0</v>
      </c>
      <c r="K21" s="175">
        <f t="shared" si="0"/>
        <v>0</v>
      </c>
      <c r="L21" s="294">
        <f>IF(OR(J21&gt;0,K21&gt;0,M21&gt;0),0,IF(VLOOKUP(A21,'Low Discharge'!A:C,3,FALSE)&lt;=L$3,L$1*C21,IF(VLOOKUP(A21,'Low Discharge'!A:C,3,FALSE)&gt;=L$2,0,(VLOOKUP(A21,'Low Discharge'!A:C,3,FALSE)-L$2)/(L$3-L$2)*L$1*C21)))</f>
        <v>0</v>
      </c>
      <c r="M21" s="170">
        <f>IF(VLOOKUP($A21,Characteristics!$A:$E,3,FALSE)=2,M$1*C21,0)</f>
        <v>0</v>
      </c>
      <c r="N21" s="170">
        <f>IF(VLOOKUP($A21,Characteristics!$A:$E,5,FALSE)&gt;=N$2,N$1*C21,IF(VLOOKUP($A21,Characteristics!$A:$E,5,FALSE)&lt;=N$3,0,(VLOOKUP($A21,Characteristics!$A:$E,5,FALSE)-N$3)/(N$2-N$3)*N$1*C21))</f>
        <v>0</v>
      </c>
      <c r="O21" s="170">
        <f>IF(VLOOKUP($A21,Characteristics!$A:$F,6,FALSE)&lt;=O$3,O$1*C21,IF(VLOOKUP($A21,Characteristics!$A:$F,6,FALSE)&gt;=O$2,0,(VLOOKUP($A21,Characteristics!$A:$F,6,FALSE)-O$2)/(O$3-O$2)*O$1*C21))</f>
        <v>0</v>
      </c>
      <c r="P21" s="175">
        <f t="shared" si="1"/>
        <v>7869.1546227825311</v>
      </c>
      <c r="Q21" s="175"/>
      <c r="R21" s="85">
        <v>6542.78</v>
      </c>
      <c r="S21" s="86">
        <f t="shared" si="37"/>
        <v>6706.3494999999994</v>
      </c>
      <c r="T21" s="85">
        <f t="shared" si="2"/>
        <v>98099742.483891487</v>
      </c>
      <c r="U21" s="88">
        <v>8153.0526</v>
      </c>
      <c r="V21" s="89">
        <v>1.7941611163798943</v>
      </c>
      <c r="W21" s="90">
        <f t="shared" si="3"/>
        <v>115109127.85873903</v>
      </c>
      <c r="X21" s="98" t="s">
        <v>5</v>
      </c>
      <c r="Y21" s="85">
        <f t="shared" si="38"/>
        <v>6706.3494999999994</v>
      </c>
      <c r="Z21" s="85">
        <f t="shared" si="39"/>
        <v>6035.7145499999997</v>
      </c>
      <c r="AA21" s="85">
        <f t="shared" si="40"/>
        <v>7376.9844499999999</v>
      </c>
      <c r="AB21" s="230"/>
      <c r="AC21" s="99"/>
      <c r="AD21" s="85">
        <f t="shared" si="41"/>
        <v>6560.7796463546883</v>
      </c>
      <c r="AE21" s="85">
        <f t="shared" si="4"/>
        <v>95970362.684043184</v>
      </c>
      <c r="AF21" s="92">
        <f t="shared" si="42"/>
        <v>0</v>
      </c>
      <c r="AG21" s="92">
        <f t="shared" si="43"/>
        <v>0</v>
      </c>
      <c r="AH21" s="85">
        <f t="shared" si="44"/>
        <v>6560.7796463546883</v>
      </c>
      <c r="AI21" s="85">
        <f t="shared" si="5"/>
        <v>95970362.684043184</v>
      </c>
      <c r="AJ21" s="93">
        <f t="shared" si="6"/>
        <v>115109127.85873903</v>
      </c>
      <c r="AK21" s="93">
        <f t="shared" si="7"/>
        <v>98099742.483891487</v>
      </c>
      <c r="AL21" s="94">
        <f t="shared" si="45"/>
        <v>0</v>
      </c>
      <c r="AM21" s="95"/>
      <c r="AN21" s="85">
        <f t="shared" si="46"/>
        <v>6540.7042250256591</v>
      </c>
      <c r="AO21" s="85">
        <f t="shared" si="8"/>
        <v>95676701.6300475</v>
      </c>
      <c r="AP21" s="92">
        <f t="shared" si="47"/>
        <v>0</v>
      </c>
      <c r="AQ21" s="92">
        <f t="shared" si="48"/>
        <v>0</v>
      </c>
      <c r="AR21" s="85">
        <f t="shared" si="49"/>
        <v>6540.7042250256591</v>
      </c>
      <c r="AS21" s="85">
        <f t="shared" si="9"/>
        <v>95676701.6300475</v>
      </c>
      <c r="AT21" s="93">
        <f t="shared" si="10"/>
        <v>115109127.85873903</v>
      </c>
      <c r="AU21" s="93">
        <f t="shared" si="11"/>
        <v>98099742.483891487</v>
      </c>
      <c r="AV21" s="94">
        <f t="shared" si="12"/>
        <v>0</v>
      </c>
      <c r="AW21" s="92">
        <f t="shared" si="13"/>
        <v>0</v>
      </c>
      <c r="AX21" s="95"/>
      <c r="AY21" s="85">
        <f t="shared" si="50"/>
        <v>6552.1966368167632</v>
      </c>
      <c r="AZ21" s="85">
        <f t="shared" si="14"/>
        <v>95844811.36504209</v>
      </c>
      <c r="BA21" s="92">
        <f t="shared" si="51"/>
        <v>0</v>
      </c>
      <c r="BB21" s="92">
        <f t="shared" si="52"/>
        <v>0</v>
      </c>
      <c r="BC21" s="85">
        <f t="shared" si="53"/>
        <v>6552.1966368167632</v>
      </c>
      <c r="BD21" s="85">
        <f t="shared" si="15"/>
        <v>95844811.36504209</v>
      </c>
      <c r="BE21" s="96">
        <f t="shared" si="16"/>
        <v>115109127.85873903</v>
      </c>
      <c r="BF21" s="96">
        <f t="shared" si="17"/>
        <v>98099742.483891487</v>
      </c>
      <c r="BG21" s="94">
        <f t="shared" si="18"/>
        <v>0</v>
      </c>
      <c r="BH21" s="92">
        <f t="shared" si="19"/>
        <v>0</v>
      </c>
      <c r="BI21" s="95"/>
      <c r="BJ21" s="85">
        <f t="shared" si="54"/>
        <v>6552.1966368167632</v>
      </c>
      <c r="BK21" s="85">
        <f t="shared" si="20"/>
        <v>95844811.36504209</v>
      </c>
      <c r="BL21" s="92">
        <f t="shared" si="55"/>
        <v>0</v>
      </c>
      <c r="BM21" s="92">
        <f t="shared" si="56"/>
        <v>0</v>
      </c>
      <c r="BN21" s="85">
        <f t="shared" si="57"/>
        <v>6552.1966368167632</v>
      </c>
      <c r="BO21" s="85">
        <f t="shared" si="21"/>
        <v>95844811.36504209</v>
      </c>
      <c r="BP21" s="93">
        <f t="shared" si="22"/>
        <v>115109127.85873903</v>
      </c>
      <c r="BQ21" s="93">
        <f t="shared" si="23"/>
        <v>98099742.483891487</v>
      </c>
      <c r="BR21" s="94">
        <f t="shared" si="24"/>
        <v>0</v>
      </c>
      <c r="BS21" s="92">
        <f t="shared" si="25"/>
        <v>0</v>
      </c>
      <c r="BT21" s="95"/>
      <c r="BU21" s="85">
        <f t="shared" si="58"/>
        <v>6552.1966368167632</v>
      </c>
      <c r="BV21" s="85">
        <f t="shared" si="26"/>
        <v>95844811.36504209</v>
      </c>
      <c r="BW21" s="92">
        <f t="shared" si="59"/>
        <v>0</v>
      </c>
      <c r="BX21" s="92">
        <f t="shared" si="60"/>
        <v>0</v>
      </c>
      <c r="BY21" s="85">
        <f t="shared" si="61"/>
        <v>6552.1966368167632</v>
      </c>
      <c r="BZ21" s="85">
        <f t="shared" si="27"/>
        <v>95844811.36504209</v>
      </c>
      <c r="CA21" s="96">
        <f t="shared" si="28"/>
        <v>115109127.85873903</v>
      </c>
      <c r="CB21" s="96">
        <f t="shared" si="29"/>
        <v>98099742.483891487</v>
      </c>
      <c r="CC21" s="94">
        <f t="shared" si="30"/>
        <v>0</v>
      </c>
      <c r="CD21" s="92">
        <f t="shared" si="31"/>
        <v>0</v>
      </c>
      <c r="CE21" s="66"/>
      <c r="CF21" s="85">
        <f t="shared" si="62"/>
        <v>6552.1966368167632</v>
      </c>
      <c r="CG21" s="85">
        <f t="shared" si="32"/>
        <v>95844811.36504209</v>
      </c>
      <c r="CH21" s="92">
        <f t="shared" si="63"/>
        <v>0</v>
      </c>
      <c r="CI21" s="92">
        <f t="shared" si="64"/>
        <v>0</v>
      </c>
      <c r="CJ21" s="85">
        <f t="shared" si="65"/>
        <v>6552.1966368167632</v>
      </c>
      <c r="CK21" s="85">
        <f t="shared" si="33"/>
        <v>95844811.36504209</v>
      </c>
      <c r="CL21" s="97">
        <f t="shared" si="34"/>
        <v>0.97701389359692092</v>
      </c>
      <c r="CM21" s="261"/>
      <c r="CN21" s="295">
        <f t="shared" si="66"/>
        <v>6683.24</v>
      </c>
      <c r="CP21" s="85">
        <f t="shared" si="67"/>
        <v>6683.24</v>
      </c>
      <c r="CQ21" s="85">
        <f t="shared" si="68"/>
        <v>6014.9160000000002</v>
      </c>
      <c r="CR21" s="85">
        <f t="shared" si="69"/>
        <v>7351.5640000000003</v>
      </c>
      <c r="CS21" s="295">
        <f t="shared" si="70"/>
        <v>6683.2405695530988</v>
      </c>
      <c r="CT21" s="295">
        <f t="shared" si="71"/>
        <v>6683.2405695530988</v>
      </c>
      <c r="CU21" s="303"/>
      <c r="CV21" s="303"/>
    </row>
    <row r="22" spans="1:100" s="153" customFormat="1" ht="15" customHeight="1" x14ac:dyDescent="0.3">
      <c r="A22" s="174">
        <v>60027</v>
      </c>
      <c r="B22" s="176" t="s">
        <v>270</v>
      </c>
      <c r="C22" s="175">
        <f>VLOOKUP($A22,'Fed Bs Rt+IME+GME+VBP+RAA+HAC'!$B$5:$AC$88,15,FALSE)</f>
        <v>6708.8630929999999</v>
      </c>
      <c r="D22" s="175">
        <f>VLOOKUP($A22,'Fed Bs Rt+IME+GME+VBP+RAA+HAC'!$B$5:$AC$88,21,FALSE)</f>
        <v>0</v>
      </c>
      <c r="E22" s="175">
        <f>VLOOKUP($A22,'Fed Bs Rt+IME+GME+VBP+RAA+HAC'!$B$5:$AC$88,25,FALSE)</f>
        <v>-56.052024911999979</v>
      </c>
      <c r="F22" s="175">
        <f>VLOOKUP($A22,'Fed Bs Rt+IME+GME+VBP+RAA+HAC'!$B$5:$AC$88,23,FALSE)</f>
        <v>30.268093452480571</v>
      </c>
      <c r="G22" s="175">
        <f>VLOOKUP($A22,'Fed Bs Rt+IME+GME+VBP+RAA+HAC'!$B$5:$AC$88,28,FALSE)</f>
        <v>-67.088630929999994</v>
      </c>
      <c r="H22" s="175">
        <f t="shared" si="35"/>
        <v>-92.872562389519402</v>
      </c>
      <c r="I22" s="175">
        <f>VLOOKUP($A22,'Fed Bs Rt+IME+GME+VBP+RAA+HAC'!$B$5:$AC$88,16,FALSE)</f>
        <v>2.7277645850092735</v>
      </c>
      <c r="J22" s="175">
        <f t="shared" si="36"/>
        <v>0</v>
      </c>
      <c r="K22" s="175">
        <f t="shared" si="0"/>
        <v>0</v>
      </c>
      <c r="L22" s="294">
        <f>IF(OR(J22&gt;0,K22&gt;0,M22&gt;0),0,IF(VLOOKUP(A22,'Low Discharge'!A:C,3,FALSE)&lt;=L$3,L$1*C22,IF(VLOOKUP(A22,'Low Discharge'!A:C,3,FALSE)&gt;=L$2,0,(VLOOKUP(A22,'Low Discharge'!A:C,3,FALSE)-L$2)/(L$3-L$2)*L$1*C22)))</f>
        <v>0</v>
      </c>
      <c r="M22" s="170">
        <f>IF(VLOOKUP($A22,Characteristics!$A:$E,3,FALSE)=2,M$1*C22,0)</f>
        <v>0</v>
      </c>
      <c r="N22" s="170">
        <f>IF(VLOOKUP($A22,Characteristics!$A:$E,5,FALSE)&gt;=N$2,N$1*C22,IF(VLOOKUP($A22,Characteristics!$A:$E,5,FALSE)&lt;=N$3,0,(VLOOKUP($A22,Characteristics!$A:$E,5,FALSE)-N$3)/(N$2-N$3)*N$1*C22))</f>
        <v>0</v>
      </c>
      <c r="O22" s="170">
        <f>IF(VLOOKUP($A22,Characteristics!$A:$F,6,FALSE)&lt;=O$3,O$1*C22,IF(VLOOKUP($A22,Characteristics!$A:$F,6,FALSE)&gt;=O$2,0,(VLOOKUP($A22,Characteristics!$A:$F,6,FALSE)-O$2)/(O$3-O$2)*O$1*C22))</f>
        <v>577.94939203664558</v>
      </c>
      <c r="P22" s="175">
        <f t="shared" si="1"/>
        <v>7196.667687232135</v>
      </c>
      <c r="Q22" s="175"/>
      <c r="R22" s="85">
        <v>5283.66</v>
      </c>
      <c r="S22" s="86">
        <f t="shared" si="37"/>
        <v>5415.7514999999994</v>
      </c>
      <c r="T22" s="85">
        <f t="shared" si="2"/>
        <v>8310955.4938494451</v>
      </c>
      <c r="U22" s="88">
        <v>1089.1356000000001</v>
      </c>
      <c r="V22" s="89">
        <v>1.4089976673427993</v>
      </c>
      <c r="W22" s="90">
        <f t="shared" si="3"/>
        <v>11043930.810453674</v>
      </c>
      <c r="X22" s="98" t="s">
        <v>5</v>
      </c>
      <c r="Y22" s="85">
        <f t="shared" si="38"/>
        <v>5415.7514999999994</v>
      </c>
      <c r="Z22" s="85">
        <f t="shared" si="39"/>
        <v>4874.1763499999997</v>
      </c>
      <c r="AA22" s="85">
        <f t="shared" si="40"/>
        <v>5957.32665</v>
      </c>
      <c r="AB22" s="230"/>
      <c r="AC22" s="101"/>
      <c r="AD22" s="85">
        <f t="shared" si="41"/>
        <v>6000.1046042828402</v>
      </c>
      <c r="AE22" s="85">
        <f t="shared" si="4"/>
        <v>9207697.6435561758</v>
      </c>
      <c r="AF22" s="92">
        <f t="shared" si="42"/>
        <v>0</v>
      </c>
      <c r="AG22" s="92">
        <f t="shared" si="43"/>
        <v>1</v>
      </c>
      <c r="AH22" s="85">
        <f t="shared" si="44"/>
        <v>5957.32665</v>
      </c>
      <c r="AI22" s="85">
        <f t="shared" si="5"/>
        <v>9142051.0432343893</v>
      </c>
      <c r="AJ22" s="93">
        <f t="shared" si="6"/>
        <v>11043930.810453674</v>
      </c>
      <c r="AK22" s="93">
        <f t="shared" si="7"/>
        <v>8310955.4938494451</v>
      </c>
      <c r="AL22" s="94">
        <f t="shared" si="45"/>
        <v>0</v>
      </c>
      <c r="AM22" s="95"/>
      <c r="AN22" s="85">
        <f t="shared" si="46"/>
        <v>5981.7448003506724</v>
      </c>
      <c r="AO22" s="85">
        <f t="shared" si="8"/>
        <v>9179522.8808559217</v>
      </c>
      <c r="AP22" s="92">
        <f t="shared" si="47"/>
        <v>0</v>
      </c>
      <c r="AQ22" s="92">
        <f t="shared" si="48"/>
        <v>1</v>
      </c>
      <c r="AR22" s="85">
        <f t="shared" si="49"/>
        <v>5957.32665</v>
      </c>
      <c r="AS22" s="85">
        <f t="shared" si="9"/>
        <v>9142051.0432343893</v>
      </c>
      <c r="AT22" s="93">
        <f t="shared" si="10"/>
        <v>0</v>
      </c>
      <c r="AU22" s="93">
        <f t="shared" si="11"/>
        <v>-831095.54938494414</v>
      </c>
      <c r="AV22" s="94">
        <f t="shared" si="12"/>
        <v>1</v>
      </c>
      <c r="AW22" s="92">
        <f t="shared" si="13"/>
        <v>1</v>
      </c>
      <c r="AX22" s="95"/>
      <c r="AY22" s="85">
        <f t="shared" si="50"/>
        <v>5957.32665</v>
      </c>
      <c r="AZ22" s="85">
        <f t="shared" si="14"/>
        <v>9142051.0432343893</v>
      </c>
      <c r="BA22" s="92">
        <f t="shared" si="51"/>
        <v>0</v>
      </c>
      <c r="BB22" s="92">
        <f t="shared" si="52"/>
        <v>1</v>
      </c>
      <c r="BC22" s="85">
        <f t="shared" si="53"/>
        <v>5957.32665</v>
      </c>
      <c r="BD22" s="85">
        <f t="shared" si="15"/>
        <v>9142051.0432343893</v>
      </c>
      <c r="BE22" s="96">
        <f t="shared" si="16"/>
        <v>0</v>
      </c>
      <c r="BF22" s="96">
        <f t="shared" si="17"/>
        <v>-831095.54938494414</v>
      </c>
      <c r="BG22" s="94">
        <f t="shared" si="18"/>
        <v>1</v>
      </c>
      <c r="BH22" s="92">
        <f t="shared" si="19"/>
        <v>0</v>
      </c>
      <c r="BI22" s="95"/>
      <c r="BJ22" s="85">
        <f t="shared" si="54"/>
        <v>5957.32665</v>
      </c>
      <c r="BK22" s="85">
        <f t="shared" si="20"/>
        <v>9142051.0432343893</v>
      </c>
      <c r="BL22" s="92">
        <f t="shared" si="55"/>
        <v>0</v>
      </c>
      <c r="BM22" s="92">
        <f t="shared" si="56"/>
        <v>1</v>
      </c>
      <c r="BN22" s="85">
        <f t="shared" si="57"/>
        <v>5957.32665</v>
      </c>
      <c r="BO22" s="85">
        <f t="shared" si="21"/>
        <v>9142051.0432343893</v>
      </c>
      <c r="BP22" s="93">
        <f t="shared" si="22"/>
        <v>0</v>
      </c>
      <c r="BQ22" s="93">
        <f t="shared" si="23"/>
        <v>-831095.54938494414</v>
      </c>
      <c r="BR22" s="94">
        <f t="shared" si="24"/>
        <v>1</v>
      </c>
      <c r="BS22" s="92">
        <f t="shared" si="25"/>
        <v>0</v>
      </c>
      <c r="BT22" s="95"/>
      <c r="BU22" s="85">
        <f t="shared" si="58"/>
        <v>5957.32665</v>
      </c>
      <c r="BV22" s="85">
        <f t="shared" si="26"/>
        <v>9142051.0432343893</v>
      </c>
      <c r="BW22" s="92">
        <f t="shared" si="59"/>
        <v>0</v>
      </c>
      <c r="BX22" s="92">
        <f t="shared" si="60"/>
        <v>1</v>
      </c>
      <c r="BY22" s="85">
        <f t="shared" si="61"/>
        <v>5957.32665</v>
      </c>
      <c r="BZ22" s="85">
        <f t="shared" si="27"/>
        <v>9142051.0432343893</v>
      </c>
      <c r="CA22" s="96">
        <f t="shared" si="28"/>
        <v>0</v>
      </c>
      <c r="CB22" s="96">
        <f t="shared" si="29"/>
        <v>-831095.54938494414</v>
      </c>
      <c r="CC22" s="94">
        <f t="shared" si="30"/>
        <v>1</v>
      </c>
      <c r="CD22" s="92">
        <f t="shared" si="31"/>
        <v>0</v>
      </c>
      <c r="CE22" s="66"/>
      <c r="CF22" s="85">
        <f t="shared" si="62"/>
        <v>5992.2550867219625</v>
      </c>
      <c r="CG22" s="85">
        <f t="shared" si="32"/>
        <v>9195651.8561716098</v>
      </c>
      <c r="CH22" s="92">
        <f t="shared" si="63"/>
        <v>0</v>
      </c>
      <c r="CI22" s="92">
        <f t="shared" si="64"/>
        <v>1</v>
      </c>
      <c r="CJ22" s="85">
        <f t="shared" si="65"/>
        <v>5957.32665</v>
      </c>
      <c r="CK22" s="85">
        <f t="shared" si="33"/>
        <v>9142051.0432343893</v>
      </c>
      <c r="CL22" s="97">
        <f t="shared" si="34"/>
        <v>1.1000000000000001</v>
      </c>
      <c r="CM22" s="261"/>
      <c r="CN22" s="295">
        <f t="shared" si="66"/>
        <v>6076.47</v>
      </c>
      <c r="CP22" s="85">
        <f t="shared" si="67"/>
        <v>6076.47</v>
      </c>
      <c r="CQ22" s="85">
        <f t="shared" si="68"/>
        <v>5468.8230000000003</v>
      </c>
      <c r="CR22" s="85">
        <f t="shared" si="69"/>
        <v>6684.1170000000011</v>
      </c>
      <c r="CS22" s="295">
        <f t="shared" si="70"/>
        <v>6112.1001884564021</v>
      </c>
      <c r="CT22" s="295">
        <f t="shared" si="71"/>
        <v>6112.1001884564021</v>
      </c>
      <c r="CU22" s="303"/>
      <c r="CV22" s="303"/>
    </row>
    <row r="23" spans="1:100" s="153" customFormat="1" ht="15" customHeight="1" x14ac:dyDescent="0.3">
      <c r="A23" s="174">
        <v>60028</v>
      </c>
      <c r="B23" s="176" t="s">
        <v>270</v>
      </c>
      <c r="C23" s="175">
        <f>VLOOKUP($A23,'Fed Bs Rt+IME+GME+VBP+RAA+HAC'!$B$5:$AC$88,15,FALSE)</f>
        <v>6521.7222690000008</v>
      </c>
      <c r="D23" s="175">
        <f>VLOOKUP($A23,'Fed Bs Rt+IME+GME+VBP+RAA+HAC'!$B$5:$AC$88,21,FALSE)</f>
        <v>667.96525029738007</v>
      </c>
      <c r="E23" s="175">
        <f>VLOOKUP($A23,'Fed Bs Rt+IME+GME+VBP+RAA+HAC'!$B$5:$AC$88,25,FALSE)</f>
        <v>-7.8713057903996742</v>
      </c>
      <c r="F23" s="175">
        <f>VLOOKUP($A23,'Fed Bs Rt+IME+GME+VBP+RAA+HAC'!$B$5:$AC$88,23,FALSE)</f>
        <v>56.61285318479986</v>
      </c>
      <c r="G23" s="175">
        <f>VLOOKUP($A23,'Fed Bs Rt+IME+GME+VBP+RAA+HAC'!$B$5:$AC$88,28,FALSE)</f>
        <v>0</v>
      </c>
      <c r="H23" s="175">
        <f t="shared" si="35"/>
        <v>716.70679769178025</v>
      </c>
      <c r="I23" s="175">
        <f>VLOOKUP($A23,'Fed Bs Rt+IME+GME+VBP+RAA+HAC'!$B$5:$AC$88,16,FALSE)</f>
        <v>84.883215041241371</v>
      </c>
      <c r="J23" s="175">
        <f t="shared" si="36"/>
        <v>0</v>
      </c>
      <c r="K23" s="175">
        <f t="shared" si="0"/>
        <v>0</v>
      </c>
      <c r="L23" s="294">
        <f>IF(OR(J23&gt;0,K23&gt;0,M23&gt;0),0,IF(VLOOKUP(A23,'Low Discharge'!A:C,3,FALSE)&lt;=L$3,L$1*C23,IF(VLOOKUP(A23,'Low Discharge'!A:C,3,FALSE)&gt;=L$2,0,(VLOOKUP(A23,'Low Discharge'!A:C,3,FALSE)-L$2)/(L$3-L$2)*L$1*C23)))</f>
        <v>0</v>
      </c>
      <c r="M23" s="170">
        <f>IF(VLOOKUP($A23,Characteristics!$A:$E,3,FALSE)=2,M$1*C23,0)</f>
        <v>0</v>
      </c>
      <c r="N23" s="170">
        <f>IF(VLOOKUP($A23,Characteristics!$A:$E,5,FALSE)&gt;=N$2,N$1*C23,IF(VLOOKUP($A23,Characteristics!$A:$E,5,FALSE)&lt;=N$3,0,(VLOOKUP($A23,Characteristics!$A:$E,5,FALSE)-N$3)/(N$2-N$3)*N$1*C23))</f>
        <v>0</v>
      </c>
      <c r="O23" s="170">
        <f>IF(VLOOKUP($A23,Characteristics!$A:$F,6,FALSE)&lt;=O$3,O$1*C23,IF(VLOOKUP($A23,Characteristics!$A:$F,6,FALSE)&gt;=O$2,0,(VLOOKUP($A23,Characteristics!$A:$F,6,FALSE)-O$2)/(O$3-O$2)*O$1*C23))</f>
        <v>0</v>
      </c>
      <c r="P23" s="175">
        <f t="shared" si="1"/>
        <v>7323.3122817330232</v>
      </c>
      <c r="Q23" s="175"/>
      <c r="R23" s="85">
        <v>6156.59</v>
      </c>
      <c r="S23" s="86">
        <f t="shared" si="37"/>
        <v>6310.5047499999991</v>
      </c>
      <c r="T23" s="85">
        <f t="shared" si="2"/>
        <v>27563192.293232661</v>
      </c>
      <c r="U23" s="88">
        <v>3402.1679999999997</v>
      </c>
      <c r="V23" s="89">
        <v>1.2838363311688312</v>
      </c>
      <c r="W23" s="90">
        <f t="shared" si="3"/>
        <v>31986960.257782828</v>
      </c>
      <c r="X23" s="98" t="s">
        <v>5</v>
      </c>
      <c r="Y23" s="85">
        <f t="shared" si="38"/>
        <v>6310.5047499999991</v>
      </c>
      <c r="Z23" s="85">
        <f t="shared" si="39"/>
        <v>5679.4542749999991</v>
      </c>
      <c r="AA23" s="85">
        <f t="shared" si="40"/>
        <v>6941.5552250000001</v>
      </c>
      <c r="AB23" s="230"/>
      <c r="AC23" s="101"/>
      <c r="AD23" s="85">
        <f t="shared" si="41"/>
        <v>6105.6924746134991</v>
      </c>
      <c r="AE23" s="85">
        <f t="shared" si="4"/>
        <v>26668607.730802432</v>
      </c>
      <c r="AF23" s="92">
        <f t="shared" si="42"/>
        <v>0</v>
      </c>
      <c r="AG23" s="92">
        <f t="shared" si="43"/>
        <v>0</v>
      </c>
      <c r="AH23" s="85">
        <f t="shared" si="44"/>
        <v>6105.6924746134991</v>
      </c>
      <c r="AI23" s="85">
        <f t="shared" si="5"/>
        <v>26668607.730802432</v>
      </c>
      <c r="AJ23" s="93">
        <f t="shared" si="6"/>
        <v>31986960.257782828</v>
      </c>
      <c r="AK23" s="93">
        <f t="shared" si="7"/>
        <v>27563192.293232661</v>
      </c>
      <c r="AL23" s="94">
        <f t="shared" si="45"/>
        <v>0</v>
      </c>
      <c r="AM23" s="95"/>
      <c r="AN23" s="85">
        <f t="shared" si="46"/>
        <v>6087.0095808812803</v>
      </c>
      <c r="AO23" s="85">
        <f t="shared" si="8"/>
        <v>26587004.085303999</v>
      </c>
      <c r="AP23" s="92">
        <f t="shared" si="47"/>
        <v>0</v>
      </c>
      <c r="AQ23" s="92">
        <f t="shared" si="48"/>
        <v>0</v>
      </c>
      <c r="AR23" s="85">
        <f t="shared" si="49"/>
        <v>6087.0095808812803</v>
      </c>
      <c r="AS23" s="85">
        <f t="shared" si="9"/>
        <v>26587004.085303999</v>
      </c>
      <c r="AT23" s="93">
        <f t="shared" si="10"/>
        <v>31986960.257782828</v>
      </c>
      <c r="AU23" s="93">
        <f t="shared" si="11"/>
        <v>27563192.293232661</v>
      </c>
      <c r="AV23" s="94">
        <f t="shared" si="12"/>
        <v>0</v>
      </c>
      <c r="AW23" s="92">
        <f t="shared" si="13"/>
        <v>0</v>
      </c>
      <c r="AX23" s="95"/>
      <c r="AY23" s="85">
        <f t="shared" si="50"/>
        <v>6097.704823820447</v>
      </c>
      <c r="AZ23" s="85">
        <f t="shared" si="14"/>
        <v>26633719.054935407</v>
      </c>
      <c r="BA23" s="92">
        <f t="shared" si="51"/>
        <v>0</v>
      </c>
      <c r="BB23" s="92">
        <f t="shared" si="52"/>
        <v>0</v>
      </c>
      <c r="BC23" s="85">
        <f t="shared" si="53"/>
        <v>6097.704823820447</v>
      </c>
      <c r="BD23" s="85">
        <f t="shared" si="15"/>
        <v>26633719.054935407</v>
      </c>
      <c r="BE23" s="96">
        <f t="shared" si="16"/>
        <v>31986960.257782828</v>
      </c>
      <c r="BF23" s="96">
        <f t="shared" si="17"/>
        <v>27563192.293232661</v>
      </c>
      <c r="BG23" s="94">
        <f t="shared" si="18"/>
        <v>0</v>
      </c>
      <c r="BH23" s="92">
        <f t="shared" si="19"/>
        <v>0</v>
      </c>
      <c r="BI23" s="95"/>
      <c r="BJ23" s="85">
        <f t="shared" si="54"/>
        <v>6097.704823820447</v>
      </c>
      <c r="BK23" s="85">
        <f t="shared" si="20"/>
        <v>26633719.054935407</v>
      </c>
      <c r="BL23" s="92">
        <f t="shared" si="55"/>
        <v>0</v>
      </c>
      <c r="BM23" s="92">
        <f t="shared" si="56"/>
        <v>0</v>
      </c>
      <c r="BN23" s="85">
        <f t="shared" si="57"/>
        <v>6097.704823820447</v>
      </c>
      <c r="BO23" s="85">
        <f t="shared" si="21"/>
        <v>26633719.054935407</v>
      </c>
      <c r="BP23" s="93">
        <f t="shared" si="22"/>
        <v>31986960.257782828</v>
      </c>
      <c r="BQ23" s="93">
        <f t="shared" si="23"/>
        <v>27563192.293232661</v>
      </c>
      <c r="BR23" s="94">
        <f t="shared" si="24"/>
        <v>0</v>
      </c>
      <c r="BS23" s="92">
        <f t="shared" si="25"/>
        <v>0</v>
      </c>
      <c r="BT23" s="95"/>
      <c r="BU23" s="85">
        <f t="shared" si="58"/>
        <v>6097.704823820447</v>
      </c>
      <c r="BV23" s="85">
        <f t="shared" si="26"/>
        <v>26633719.054935407</v>
      </c>
      <c r="BW23" s="92">
        <f t="shared" si="59"/>
        <v>0</v>
      </c>
      <c r="BX23" s="92">
        <f t="shared" si="60"/>
        <v>0</v>
      </c>
      <c r="BY23" s="85">
        <f t="shared" si="61"/>
        <v>6097.704823820447</v>
      </c>
      <c r="BZ23" s="85">
        <f t="shared" si="27"/>
        <v>26633719.054935407</v>
      </c>
      <c r="CA23" s="96">
        <f t="shared" si="28"/>
        <v>31986960.257782828</v>
      </c>
      <c r="CB23" s="96">
        <f t="shared" si="29"/>
        <v>27563192.293232661</v>
      </c>
      <c r="CC23" s="94">
        <f t="shared" si="30"/>
        <v>0</v>
      </c>
      <c r="CD23" s="92">
        <f t="shared" si="31"/>
        <v>0</v>
      </c>
      <c r="CE23" s="66"/>
      <c r="CF23" s="85">
        <f t="shared" si="62"/>
        <v>6097.704823820447</v>
      </c>
      <c r="CG23" s="85">
        <f t="shared" si="32"/>
        <v>26633719.054935407</v>
      </c>
      <c r="CH23" s="92">
        <f t="shared" si="63"/>
        <v>0</v>
      </c>
      <c r="CI23" s="92">
        <f t="shared" si="64"/>
        <v>0</v>
      </c>
      <c r="CJ23" s="85">
        <f t="shared" si="65"/>
        <v>6097.704823820447</v>
      </c>
      <c r="CK23" s="85">
        <f t="shared" si="33"/>
        <v>26633719.054935407</v>
      </c>
      <c r="CL23" s="97">
        <f t="shared" si="34"/>
        <v>0.9662784619281759</v>
      </c>
      <c r="CM23" s="261"/>
      <c r="CN23" s="295">
        <f t="shared" si="66"/>
        <v>6219.66</v>
      </c>
      <c r="CP23" s="85">
        <f t="shared" si="67"/>
        <v>6219.66</v>
      </c>
      <c r="CQ23" s="85">
        <f t="shared" si="68"/>
        <v>5597.6940000000004</v>
      </c>
      <c r="CR23" s="85">
        <f t="shared" si="69"/>
        <v>6841.6260000000002</v>
      </c>
      <c r="CS23" s="295">
        <f t="shared" si="70"/>
        <v>6219.6589202968562</v>
      </c>
      <c r="CT23" s="295">
        <f t="shared" si="71"/>
        <v>6219.6589202968562</v>
      </c>
      <c r="CU23" s="303"/>
      <c r="CV23" s="303"/>
    </row>
    <row r="24" spans="1:100" s="153" customFormat="1" ht="15" customHeight="1" x14ac:dyDescent="0.3">
      <c r="A24" s="174">
        <v>60030</v>
      </c>
      <c r="B24" s="176" t="s">
        <v>270</v>
      </c>
      <c r="C24" s="175">
        <f>VLOOKUP($A24,'Fed Bs Rt+IME+GME+VBP+RAA+HAC'!$B$5:$AC$88,15,FALSE)</f>
        <v>6521.7222690000008</v>
      </c>
      <c r="D24" s="175">
        <f>VLOOKUP($A24,'Fed Bs Rt+IME+GME+VBP+RAA+HAC'!$B$5:$AC$88,21,FALSE)</f>
        <v>0</v>
      </c>
      <c r="E24" s="175">
        <f>VLOOKUP($A24,'Fed Bs Rt+IME+GME+VBP+RAA+HAC'!$B$5:$AC$88,25,FALSE)</f>
        <v>-35.118133526400015</v>
      </c>
      <c r="F24" s="175">
        <f>VLOOKUP($A24,'Fed Bs Rt+IME+GME+VBP+RAA+HAC'!$B$5:$AC$88,23,FALSE)</f>
        <v>42.989439316800599</v>
      </c>
      <c r="G24" s="175">
        <f>VLOOKUP($A24,'Fed Bs Rt+IME+GME+VBP+RAA+HAC'!$B$5:$AC$88,28,FALSE)</f>
        <v>0</v>
      </c>
      <c r="H24" s="175">
        <f t="shared" si="35"/>
        <v>7.8713057904005836</v>
      </c>
      <c r="I24" s="175">
        <f>VLOOKUP($A24,'Fed Bs Rt+IME+GME+VBP+RAA+HAC'!$B$5:$AC$88,16,FALSE)</f>
        <v>0</v>
      </c>
      <c r="J24" s="175">
        <f t="shared" si="36"/>
        <v>0</v>
      </c>
      <c r="K24" s="175">
        <f t="shared" si="0"/>
        <v>0</v>
      </c>
      <c r="L24" s="294">
        <f>IF(OR(J24&gt;0,K24&gt;0,M24&gt;0),0,IF(VLOOKUP(A24,'Low Discharge'!A:C,3,FALSE)&lt;=L$3,L$1*C24,IF(VLOOKUP(A24,'Low Discharge'!A:C,3,FALSE)&gt;=L$2,0,(VLOOKUP(A24,'Low Discharge'!A:C,3,FALSE)-L$2)/(L$3-L$2)*L$1*C24)))</f>
        <v>0</v>
      </c>
      <c r="M24" s="170">
        <f>IF(VLOOKUP($A24,Characteristics!$A:$E,3,FALSE)=2,M$1*C24,0)</f>
        <v>0</v>
      </c>
      <c r="N24" s="170">
        <f>IF(VLOOKUP($A24,Characteristics!$A:$E,5,FALSE)&gt;=N$2,N$1*C24,IF(VLOOKUP($A24,Characteristics!$A:$E,5,FALSE)&lt;=N$3,0,(VLOOKUP($A24,Characteristics!$A:$E,5,FALSE)-N$3)/(N$2-N$3)*N$1*C24))</f>
        <v>0</v>
      </c>
      <c r="O24" s="170">
        <f>IF(VLOOKUP($A24,Characteristics!$A:$F,6,FALSE)&lt;=O$3,O$1*C24,IF(VLOOKUP($A24,Characteristics!$A:$F,6,FALSE)&gt;=O$2,0,(VLOOKUP($A24,Characteristics!$A:$F,6,FALSE)-O$2)/(O$3-O$2)*O$1*C24))</f>
        <v>0</v>
      </c>
      <c r="P24" s="175">
        <f t="shared" si="1"/>
        <v>6529.5935747904014</v>
      </c>
      <c r="Q24" s="175"/>
      <c r="R24" s="85">
        <v>5323.43</v>
      </c>
      <c r="S24" s="86">
        <f t="shared" si="37"/>
        <v>5456.5157499999996</v>
      </c>
      <c r="T24" s="85">
        <f t="shared" si="2"/>
        <v>2879526.9513567374</v>
      </c>
      <c r="U24" s="88">
        <v>381.08699999999999</v>
      </c>
      <c r="V24" s="89">
        <v>1.3847826086956523</v>
      </c>
      <c r="W24" s="90">
        <f t="shared" si="3"/>
        <v>3445814.4247113639</v>
      </c>
      <c r="X24" s="92"/>
      <c r="Y24" s="85">
        <f t="shared" si="38"/>
        <v>5456.5157499999996</v>
      </c>
      <c r="Z24" s="85">
        <f t="shared" si="39"/>
        <v>4910.8641749999997</v>
      </c>
      <c r="AA24" s="85">
        <f t="shared" si="40"/>
        <v>6002.1673250000003</v>
      </c>
      <c r="AB24" s="230"/>
      <c r="AC24" s="101"/>
      <c r="AD24" s="85">
        <f t="shared" si="41"/>
        <v>5443.9424154186054</v>
      </c>
      <c r="AE24" s="85">
        <f t="shared" si="4"/>
        <v>2872891.7179121072</v>
      </c>
      <c r="AF24" s="92">
        <f t="shared" si="42"/>
        <v>0</v>
      </c>
      <c r="AG24" s="92">
        <f t="shared" si="43"/>
        <v>0</v>
      </c>
      <c r="AH24" s="85">
        <f t="shared" si="44"/>
        <v>5443.9424154186054</v>
      </c>
      <c r="AI24" s="85">
        <f t="shared" si="5"/>
        <v>2872891.7179121072</v>
      </c>
      <c r="AJ24" s="93">
        <f t="shared" si="6"/>
        <v>3445814.4247113639</v>
      </c>
      <c r="AK24" s="93">
        <f t="shared" si="7"/>
        <v>2879526.9513567374</v>
      </c>
      <c r="AL24" s="94">
        <f t="shared" si="45"/>
        <v>0</v>
      </c>
      <c r="AM24" s="95"/>
      <c r="AN24" s="85">
        <f t="shared" si="46"/>
        <v>5427.2844199407009</v>
      </c>
      <c r="AO24" s="85">
        <f t="shared" si="8"/>
        <v>2864100.9163948195</v>
      </c>
      <c r="AP24" s="92">
        <f t="shared" si="47"/>
        <v>0</v>
      </c>
      <c r="AQ24" s="92">
        <f t="shared" si="48"/>
        <v>0</v>
      </c>
      <c r="AR24" s="85">
        <f t="shared" si="49"/>
        <v>5427.2844199407009</v>
      </c>
      <c r="AS24" s="85">
        <f t="shared" si="9"/>
        <v>2864100.9163948195</v>
      </c>
      <c r="AT24" s="93">
        <f t="shared" si="10"/>
        <v>3445814.4247113639</v>
      </c>
      <c r="AU24" s="93">
        <f t="shared" si="11"/>
        <v>2879526.9513567374</v>
      </c>
      <c r="AV24" s="94">
        <f t="shared" si="12"/>
        <v>0</v>
      </c>
      <c r="AW24" s="92">
        <f t="shared" si="13"/>
        <v>0</v>
      </c>
      <c r="AX24" s="95"/>
      <c r="AY24" s="85">
        <f t="shared" si="50"/>
        <v>5436.8204859842863</v>
      </c>
      <c r="AZ24" s="85">
        <f t="shared" si="14"/>
        <v>2869133.3144379156</v>
      </c>
      <c r="BA24" s="92">
        <f t="shared" si="51"/>
        <v>0</v>
      </c>
      <c r="BB24" s="92">
        <f t="shared" si="52"/>
        <v>0</v>
      </c>
      <c r="BC24" s="85">
        <f t="shared" si="53"/>
        <v>5436.8204859842863</v>
      </c>
      <c r="BD24" s="85">
        <f t="shared" si="15"/>
        <v>2869133.3144379156</v>
      </c>
      <c r="BE24" s="96">
        <f t="shared" si="16"/>
        <v>3445814.4247113639</v>
      </c>
      <c r="BF24" s="96">
        <f t="shared" si="17"/>
        <v>2879526.9513567374</v>
      </c>
      <c r="BG24" s="94">
        <f t="shared" si="18"/>
        <v>0</v>
      </c>
      <c r="BH24" s="92">
        <f t="shared" si="19"/>
        <v>0</v>
      </c>
      <c r="BI24" s="95"/>
      <c r="BJ24" s="85">
        <f t="shared" si="54"/>
        <v>5436.8204859842863</v>
      </c>
      <c r="BK24" s="85">
        <f t="shared" si="20"/>
        <v>2869133.3144379156</v>
      </c>
      <c r="BL24" s="92">
        <f t="shared" si="55"/>
        <v>0</v>
      </c>
      <c r="BM24" s="92">
        <f t="shared" si="56"/>
        <v>0</v>
      </c>
      <c r="BN24" s="85">
        <f t="shared" si="57"/>
        <v>5436.8204859842863</v>
      </c>
      <c r="BO24" s="85">
        <f t="shared" si="21"/>
        <v>2869133.3144379156</v>
      </c>
      <c r="BP24" s="93">
        <f t="shared" si="22"/>
        <v>3445814.4247113639</v>
      </c>
      <c r="BQ24" s="93">
        <f t="shared" si="23"/>
        <v>2879526.9513567374</v>
      </c>
      <c r="BR24" s="94">
        <f t="shared" si="24"/>
        <v>0</v>
      </c>
      <c r="BS24" s="92">
        <f t="shared" si="25"/>
        <v>0</v>
      </c>
      <c r="BT24" s="95"/>
      <c r="BU24" s="85">
        <f t="shared" si="58"/>
        <v>5436.8204859842863</v>
      </c>
      <c r="BV24" s="85">
        <f t="shared" si="26"/>
        <v>2869133.3144379156</v>
      </c>
      <c r="BW24" s="92">
        <f t="shared" si="59"/>
        <v>0</v>
      </c>
      <c r="BX24" s="92">
        <f t="shared" si="60"/>
        <v>0</v>
      </c>
      <c r="BY24" s="85">
        <f t="shared" si="61"/>
        <v>5436.8204859842863</v>
      </c>
      <c r="BZ24" s="85">
        <f t="shared" si="27"/>
        <v>2869133.3144379156</v>
      </c>
      <c r="CA24" s="96">
        <f t="shared" si="28"/>
        <v>3445814.4247113639</v>
      </c>
      <c r="CB24" s="96">
        <f t="shared" si="29"/>
        <v>2879526.9513567374</v>
      </c>
      <c r="CC24" s="94">
        <f t="shared" si="30"/>
        <v>0</v>
      </c>
      <c r="CD24" s="92">
        <f t="shared" si="31"/>
        <v>0</v>
      </c>
      <c r="CE24" s="66"/>
      <c r="CF24" s="85">
        <f t="shared" si="62"/>
        <v>5436.8204859842863</v>
      </c>
      <c r="CG24" s="85">
        <f t="shared" si="32"/>
        <v>2869133.3144379156</v>
      </c>
      <c r="CH24" s="92">
        <f t="shared" si="63"/>
        <v>0</v>
      </c>
      <c r="CI24" s="92">
        <f t="shared" si="64"/>
        <v>0</v>
      </c>
      <c r="CJ24" s="85">
        <f t="shared" si="65"/>
        <v>5436.8204859842863</v>
      </c>
      <c r="CK24" s="85">
        <f t="shared" si="33"/>
        <v>2869133.3144379156</v>
      </c>
      <c r="CL24" s="97">
        <f t="shared" si="34"/>
        <v>0.99639050542175867</v>
      </c>
      <c r="CM24" s="261"/>
      <c r="CN24" s="295">
        <f t="shared" si="66"/>
        <v>5545.56</v>
      </c>
      <c r="CP24" s="85">
        <f t="shared" si="67"/>
        <v>5545.56</v>
      </c>
      <c r="CQ24" s="85">
        <f t="shared" si="68"/>
        <v>4991.0040000000008</v>
      </c>
      <c r="CR24" s="85">
        <f t="shared" si="69"/>
        <v>6100.1160000000009</v>
      </c>
      <c r="CS24" s="295">
        <f t="shared" si="70"/>
        <v>5545.5568957039723</v>
      </c>
      <c r="CT24" s="295">
        <f t="shared" si="71"/>
        <v>5545.5568957039723</v>
      </c>
      <c r="CU24" s="303"/>
      <c r="CV24" s="303"/>
    </row>
    <row r="25" spans="1:100" s="153" customFormat="1" ht="15" customHeight="1" x14ac:dyDescent="0.3">
      <c r="A25" s="174">
        <v>60031</v>
      </c>
      <c r="B25" s="176" t="s">
        <v>270</v>
      </c>
      <c r="C25" s="175">
        <f>VLOOKUP($A25,'Fed Bs Rt+IME+GME+VBP+RAA+HAC'!$B$5:$AC$88,15,FALSE)</f>
        <v>6521.7222690000008</v>
      </c>
      <c r="D25" s="175">
        <f>VLOOKUP($A25,'Fed Bs Rt+IME+GME+VBP+RAA+HAC'!$B$5:$AC$88,21,FALSE)</f>
        <v>37.359407118900009</v>
      </c>
      <c r="E25" s="175">
        <f>VLOOKUP($A25,'Fed Bs Rt+IME+GME+VBP+RAA+HAC'!$B$5:$AC$88,25,FALSE)</f>
        <v>0</v>
      </c>
      <c r="F25" s="175">
        <f>VLOOKUP($A25,'Fed Bs Rt+IME+GME+VBP+RAA+HAC'!$B$5:$AC$88,23,FALSE)</f>
        <v>-17.19577572671972</v>
      </c>
      <c r="G25" s="175">
        <f>VLOOKUP($A25,'Fed Bs Rt+IME+GME+VBP+RAA+HAC'!$B$5:$AC$88,28,FALSE)</f>
        <v>0</v>
      </c>
      <c r="H25" s="175">
        <f t="shared" si="35"/>
        <v>20.163631392180289</v>
      </c>
      <c r="I25" s="175">
        <f>VLOOKUP($A25,'Fed Bs Rt+IME+GME+VBP+RAA+HAC'!$B$5:$AC$88,16,FALSE)</f>
        <v>2.6184864538159314</v>
      </c>
      <c r="J25" s="175">
        <f t="shared" si="36"/>
        <v>0</v>
      </c>
      <c r="K25" s="175">
        <f t="shared" si="0"/>
        <v>0</v>
      </c>
      <c r="L25" s="294">
        <f>IF(OR(J25&gt;0,K25&gt;0,M25&gt;0),0,IF(VLOOKUP(A25,'Low Discharge'!A:C,3,FALSE)&lt;=L$3,L$1*C25,IF(VLOOKUP(A25,'Low Discharge'!A:C,3,FALSE)&gt;=L$2,0,(VLOOKUP(A25,'Low Discharge'!A:C,3,FALSE)-L$2)/(L$3-L$2)*L$1*C25)))</f>
        <v>0</v>
      </c>
      <c r="M25" s="170">
        <f>IF(VLOOKUP($A25,Characteristics!$A:$E,3,FALSE)=2,M$1*C25,0)</f>
        <v>0</v>
      </c>
      <c r="N25" s="170">
        <f>IF(VLOOKUP($A25,Characteristics!$A:$E,5,FALSE)&gt;=N$2,N$1*C25,IF(VLOOKUP($A25,Characteristics!$A:$E,5,FALSE)&lt;=N$3,0,(VLOOKUP($A25,Characteristics!$A:$E,5,FALSE)-N$3)/(N$2-N$3)*N$1*C25))</f>
        <v>0</v>
      </c>
      <c r="O25" s="170">
        <f>IF(VLOOKUP($A25,Characteristics!$A:$F,6,FALSE)&lt;=O$3,O$1*C25,IF(VLOOKUP($A25,Characteristics!$A:$F,6,FALSE)&gt;=O$2,0,(VLOOKUP($A25,Characteristics!$A:$F,6,FALSE)-O$2)/(O$3-O$2)*O$1*C25))</f>
        <v>0</v>
      </c>
      <c r="P25" s="175">
        <f t="shared" si="1"/>
        <v>6544.504386845997</v>
      </c>
      <c r="Q25" s="175"/>
      <c r="R25" s="85">
        <v>5484.72</v>
      </c>
      <c r="S25" s="86">
        <f t="shared" si="37"/>
        <v>5621.8379999999997</v>
      </c>
      <c r="T25" s="85">
        <f t="shared" si="2"/>
        <v>37217787.296797141</v>
      </c>
      <c r="U25" s="88">
        <v>4681.2947999999997</v>
      </c>
      <c r="V25" s="89">
        <v>1.4141850165172252</v>
      </c>
      <c r="W25" s="90">
        <f t="shared" si="3"/>
        <v>43326038.963162959</v>
      </c>
      <c r="X25" s="98" t="s">
        <v>5</v>
      </c>
      <c r="Y25" s="85">
        <f t="shared" si="38"/>
        <v>5621.8379999999997</v>
      </c>
      <c r="Z25" s="85">
        <f t="shared" si="39"/>
        <v>5059.6541999999999</v>
      </c>
      <c r="AA25" s="85">
        <f t="shared" si="40"/>
        <v>6184.0218000000004</v>
      </c>
      <c r="AB25" s="230"/>
      <c r="AC25" s="101"/>
      <c r="AD25" s="85">
        <f t="shared" si="41"/>
        <v>5456.3740623914255</v>
      </c>
      <c r="AE25" s="85">
        <f t="shared" si="4"/>
        <v>36122380.13010069</v>
      </c>
      <c r="AF25" s="92">
        <f t="shared" si="42"/>
        <v>0</v>
      </c>
      <c r="AG25" s="92">
        <f t="shared" si="43"/>
        <v>0</v>
      </c>
      <c r="AH25" s="85">
        <f t="shared" si="44"/>
        <v>5456.3740623914255</v>
      </c>
      <c r="AI25" s="85">
        <f t="shared" si="5"/>
        <v>36122380.13010069</v>
      </c>
      <c r="AJ25" s="93">
        <f t="shared" si="6"/>
        <v>43326038.963162959</v>
      </c>
      <c r="AK25" s="93">
        <f t="shared" si="7"/>
        <v>37217787.296797141</v>
      </c>
      <c r="AL25" s="94">
        <f t="shared" si="45"/>
        <v>0</v>
      </c>
      <c r="AM25" s="95"/>
      <c r="AN25" s="85">
        <f t="shared" si="46"/>
        <v>5439.6780271432126</v>
      </c>
      <c r="AO25" s="85">
        <f t="shared" si="8"/>
        <v>36011848.754317924</v>
      </c>
      <c r="AP25" s="92">
        <f t="shared" si="47"/>
        <v>0</v>
      </c>
      <c r="AQ25" s="92">
        <f t="shared" si="48"/>
        <v>0</v>
      </c>
      <c r="AR25" s="85">
        <f t="shared" si="49"/>
        <v>5439.6780271432126</v>
      </c>
      <c r="AS25" s="85">
        <f t="shared" si="9"/>
        <v>36011848.754317924</v>
      </c>
      <c r="AT25" s="93">
        <f t="shared" si="10"/>
        <v>43326038.963162959</v>
      </c>
      <c r="AU25" s="93">
        <f t="shared" si="11"/>
        <v>37217787.296797141</v>
      </c>
      <c r="AV25" s="94">
        <f t="shared" si="12"/>
        <v>0</v>
      </c>
      <c r="AW25" s="92">
        <f t="shared" si="13"/>
        <v>0</v>
      </c>
      <c r="AX25" s="95"/>
      <c r="AY25" s="85">
        <f t="shared" si="50"/>
        <v>5449.2358695021076</v>
      </c>
      <c r="AZ25" s="85">
        <f t="shared" si="14"/>
        <v>36075123.744442098</v>
      </c>
      <c r="BA25" s="92">
        <f t="shared" si="51"/>
        <v>0</v>
      </c>
      <c r="BB25" s="92">
        <f t="shared" si="52"/>
        <v>0</v>
      </c>
      <c r="BC25" s="85">
        <f t="shared" si="53"/>
        <v>5449.2358695021076</v>
      </c>
      <c r="BD25" s="85">
        <f t="shared" si="15"/>
        <v>36075123.744442098</v>
      </c>
      <c r="BE25" s="96">
        <f t="shared" si="16"/>
        <v>43326038.963162959</v>
      </c>
      <c r="BF25" s="96">
        <f t="shared" si="17"/>
        <v>37217787.296797141</v>
      </c>
      <c r="BG25" s="94">
        <f t="shared" si="18"/>
        <v>0</v>
      </c>
      <c r="BH25" s="92">
        <f t="shared" si="19"/>
        <v>0</v>
      </c>
      <c r="BI25" s="95"/>
      <c r="BJ25" s="85">
        <f t="shared" si="54"/>
        <v>5449.2358695021076</v>
      </c>
      <c r="BK25" s="85">
        <f t="shared" si="20"/>
        <v>36075123.744442098</v>
      </c>
      <c r="BL25" s="92">
        <f t="shared" si="55"/>
        <v>0</v>
      </c>
      <c r="BM25" s="92">
        <f t="shared" si="56"/>
        <v>0</v>
      </c>
      <c r="BN25" s="85">
        <f t="shared" si="57"/>
        <v>5449.2358695021076</v>
      </c>
      <c r="BO25" s="85">
        <f t="shared" si="21"/>
        <v>36075123.744442098</v>
      </c>
      <c r="BP25" s="93">
        <f t="shared" si="22"/>
        <v>43326038.963162959</v>
      </c>
      <c r="BQ25" s="93">
        <f t="shared" si="23"/>
        <v>37217787.296797141</v>
      </c>
      <c r="BR25" s="94">
        <f t="shared" si="24"/>
        <v>0</v>
      </c>
      <c r="BS25" s="92">
        <f t="shared" si="25"/>
        <v>0</v>
      </c>
      <c r="BT25" s="95"/>
      <c r="BU25" s="85">
        <f t="shared" si="58"/>
        <v>5449.2358695021076</v>
      </c>
      <c r="BV25" s="85">
        <f t="shared" si="26"/>
        <v>36075123.744442098</v>
      </c>
      <c r="BW25" s="92">
        <f t="shared" si="59"/>
        <v>0</v>
      </c>
      <c r="BX25" s="92">
        <f t="shared" si="60"/>
        <v>0</v>
      </c>
      <c r="BY25" s="85">
        <f t="shared" si="61"/>
        <v>5449.2358695021076</v>
      </c>
      <c r="BZ25" s="85">
        <f t="shared" si="27"/>
        <v>36075123.744442098</v>
      </c>
      <c r="CA25" s="96">
        <f t="shared" si="28"/>
        <v>43326038.963162959</v>
      </c>
      <c r="CB25" s="96">
        <f t="shared" si="29"/>
        <v>37217787.296797141</v>
      </c>
      <c r="CC25" s="94">
        <f t="shared" si="30"/>
        <v>0</v>
      </c>
      <c r="CD25" s="92">
        <f t="shared" si="31"/>
        <v>0</v>
      </c>
      <c r="CE25" s="66"/>
      <c r="CF25" s="85">
        <f t="shared" si="62"/>
        <v>5449.2358695021076</v>
      </c>
      <c r="CG25" s="85">
        <f t="shared" si="32"/>
        <v>36075123.744442098</v>
      </c>
      <c r="CH25" s="92">
        <f t="shared" si="63"/>
        <v>0</v>
      </c>
      <c r="CI25" s="92">
        <f t="shared" si="64"/>
        <v>0</v>
      </c>
      <c r="CJ25" s="85">
        <f t="shared" si="65"/>
        <v>5449.2358695021076</v>
      </c>
      <c r="CK25" s="85">
        <f t="shared" si="33"/>
        <v>36075123.744442098</v>
      </c>
      <c r="CL25" s="97">
        <f t="shared" si="34"/>
        <v>0.9692979181367567</v>
      </c>
      <c r="CM25" s="261"/>
      <c r="CN25" s="295">
        <f t="shared" si="66"/>
        <v>5558.22</v>
      </c>
      <c r="CP25" s="85">
        <f t="shared" si="67"/>
        <v>5558.22</v>
      </c>
      <c r="CQ25" s="85">
        <f t="shared" si="68"/>
        <v>5002.3980000000001</v>
      </c>
      <c r="CR25" s="85">
        <f t="shared" si="69"/>
        <v>6114.0420000000004</v>
      </c>
      <c r="CS25" s="295">
        <f t="shared" si="70"/>
        <v>5558.2205868921501</v>
      </c>
      <c r="CT25" s="295">
        <f t="shared" si="71"/>
        <v>5558.2205868921501</v>
      </c>
      <c r="CU25" s="303"/>
      <c r="CV25" s="303"/>
    </row>
    <row r="26" spans="1:100" s="153" customFormat="1" ht="15" customHeight="1" x14ac:dyDescent="0.3">
      <c r="A26" s="174">
        <v>60032</v>
      </c>
      <c r="B26" s="176" t="s">
        <v>270</v>
      </c>
      <c r="C26" s="175">
        <f>VLOOKUP($A26,'Fed Bs Rt+IME+GME+VBP+RAA+HAC'!$B$5:$AC$88,15,FALSE)</f>
        <v>6521.7222690000008</v>
      </c>
      <c r="D26" s="175">
        <f>VLOOKUP($A26,'Fed Bs Rt+IME+GME+VBP+RAA+HAC'!$B$5:$AC$88,21,FALSE)</f>
        <v>334.91707792134002</v>
      </c>
      <c r="E26" s="175">
        <f>VLOOKUP($A26,'Fed Bs Rt+IME+GME+VBP+RAA+HAC'!$B$5:$AC$88,25,FALSE)</f>
        <v>-3.0274253039997348</v>
      </c>
      <c r="F26" s="175">
        <f>VLOOKUP($A26,'Fed Bs Rt+IME+GME+VBP+RAA+HAC'!$B$5:$AC$88,23,FALSE)</f>
        <v>41.051887122240259</v>
      </c>
      <c r="G26" s="175">
        <f>VLOOKUP($A26,'Fed Bs Rt+IME+GME+VBP+RAA+HAC'!$B$5:$AC$88,28,FALSE)</f>
        <v>0</v>
      </c>
      <c r="H26" s="175">
        <f t="shared" si="35"/>
        <v>372.94153973958055</v>
      </c>
      <c r="I26" s="175">
        <f>VLOOKUP($A26,'Fed Bs Rt+IME+GME+VBP+RAA+HAC'!$B$5:$AC$88,16,FALSE)</f>
        <v>30.217755730792749</v>
      </c>
      <c r="J26" s="175">
        <f t="shared" si="36"/>
        <v>0</v>
      </c>
      <c r="K26" s="175">
        <f t="shared" si="0"/>
        <v>0</v>
      </c>
      <c r="L26" s="294">
        <f>IF(OR(J26&gt;0,K26&gt;0,M26&gt;0),0,IF(VLOOKUP(A26,'Low Discharge'!A:C,3,FALSE)&lt;=L$3,L$1*C26,IF(VLOOKUP(A26,'Low Discharge'!A:C,3,FALSE)&gt;=L$2,0,(VLOOKUP(A26,'Low Discharge'!A:C,3,FALSE)-L$2)/(L$3-L$2)*L$1*C26)))</f>
        <v>0</v>
      </c>
      <c r="M26" s="170">
        <f>IF(VLOOKUP($A26,Characteristics!$A:$E,3,FALSE)=2,M$1*C26,0)</f>
        <v>0</v>
      </c>
      <c r="N26" s="170">
        <f>IF(VLOOKUP($A26,Characteristics!$A:$E,5,FALSE)&gt;=N$2,N$1*C26,IF(VLOOKUP($A26,Characteristics!$A:$E,5,FALSE)&lt;=N$3,0,(VLOOKUP($A26,Characteristics!$A:$E,5,FALSE)-N$3)/(N$2-N$3)*N$1*C26))</f>
        <v>0</v>
      </c>
      <c r="O26" s="170">
        <f>IF(VLOOKUP($A26,Characteristics!$A:$F,6,FALSE)&lt;=O$3,O$1*C26,IF(VLOOKUP($A26,Characteristics!$A:$F,6,FALSE)&gt;=O$2,0,(VLOOKUP($A26,Characteristics!$A:$F,6,FALSE)-O$2)/(O$3-O$2)*O$1*C26))</f>
        <v>0</v>
      </c>
      <c r="P26" s="175">
        <f t="shared" si="1"/>
        <v>6924.8815644703736</v>
      </c>
      <c r="Q26" s="175"/>
      <c r="R26" s="85">
        <v>5652.36</v>
      </c>
      <c r="S26" s="86">
        <f t="shared" si="37"/>
        <v>5793.668999999999</v>
      </c>
      <c r="T26" s="85">
        <f t="shared" si="2"/>
        <v>12549708.97424007</v>
      </c>
      <c r="U26" s="88">
        <v>2149.5515999999998</v>
      </c>
      <c r="V26" s="89">
        <v>1.0077019527235356</v>
      </c>
      <c r="W26" s="90">
        <f t="shared" si="3"/>
        <v>15000036.818669392</v>
      </c>
      <c r="X26" s="98" t="s">
        <v>5</v>
      </c>
      <c r="Y26" s="85">
        <f t="shared" si="38"/>
        <v>5793.668999999999</v>
      </c>
      <c r="Z26" s="85">
        <f t="shared" si="39"/>
        <v>5214.302099999999</v>
      </c>
      <c r="AA26" s="85">
        <f t="shared" si="40"/>
        <v>6373.0358999999989</v>
      </c>
      <c r="AB26" s="230"/>
      <c r="AC26" s="101"/>
      <c r="AD26" s="85">
        <f t="shared" si="41"/>
        <v>5773.5073460189651</v>
      </c>
      <c r="AE26" s="85">
        <f t="shared" si="4"/>
        <v>12506036.667468436</v>
      </c>
      <c r="AF26" s="92">
        <f t="shared" si="42"/>
        <v>0</v>
      </c>
      <c r="AG26" s="92">
        <f t="shared" si="43"/>
        <v>0</v>
      </c>
      <c r="AH26" s="85">
        <f t="shared" si="44"/>
        <v>5773.5073460189651</v>
      </c>
      <c r="AI26" s="85">
        <f t="shared" si="5"/>
        <v>12506036.667468436</v>
      </c>
      <c r="AJ26" s="93">
        <f t="shared" si="6"/>
        <v>15000036.818669392</v>
      </c>
      <c r="AK26" s="93">
        <f t="shared" si="7"/>
        <v>12549708.97424007</v>
      </c>
      <c r="AL26" s="94">
        <f t="shared" si="45"/>
        <v>0</v>
      </c>
      <c r="AM26" s="95"/>
      <c r="AN26" s="85">
        <f t="shared" si="46"/>
        <v>5755.8409102041333</v>
      </c>
      <c r="AO26" s="85">
        <f t="shared" si="8"/>
        <v>12467769.27109349</v>
      </c>
      <c r="AP26" s="92">
        <f t="shared" si="47"/>
        <v>0</v>
      </c>
      <c r="AQ26" s="92">
        <f t="shared" si="48"/>
        <v>0</v>
      </c>
      <c r="AR26" s="85">
        <f t="shared" si="49"/>
        <v>5755.8409102041333</v>
      </c>
      <c r="AS26" s="85">
        <f t="shared" si="9"/>
        <v>12467769.27109349</v>
      </c>
      <c r="AT26" s="93">
        <f t="shared" si="10"/>
        <v>15000036.818669392</v>
      </c>
      <c r="AU26" s="93">
        <f t="shared" si="11"/>
        <v>12549708.97424007</v>
      </c>
      <c r="AV26" s="94">
        <f t="shared" si="12"/>
        <v>0</v>
      </c>
      <c r="AW26" s="92">
        <f t="shared" si="13"/>
        <v>0</v>
      </c>
      <c r="AX26" s="95"/>
      <c r="AY26" s="85">
        <f t="shared" si="50"/>
        <v>5765.9542698162459</v>
      </c>
      <c r="AZ26" s="85">
        <f t="shared" si="14"/>
        <v>12489675.89362989</v>
      </c>
      <c r="BA26" s="92">
        <f t="shared" si="51"/>
        <v>0</v>
      </c>
      <c r="BB26" s="92">
        <f t="shared" si="52"/>
        <v>0</v>
      </c>
      <c r="BC26" s="85">
        <f t="shared" si="53"/>
        <v>5765.9542698162459</v>
      </c>
      <c r="BD26" s="85">
        <f t="shared" si="15"/>
        <v>12489675.89362989</v>
      </c>
      <c r="BE26" s="96">
        <f t="shared" si="16"/>
        <v>15000036.818669392</v>
      </c>
      <c r="BF26" s="96">
        <f t="shared" si="17"/>
        <v>12549708.97424007</v>
      </c>
      <c r="BG26" s="94">
        <f t="shared" si="18"/>
        <v>0</v>
      </c>
      <c r="BH26" s="92">
        <f t="shared" si="19"/>
        <v>0</v>
      </c>
      <c r="BI26" s="95"/>
      <c r="BJ26" s="85">
        <f t="shared" si="54"/>
        <v>5765.9542698162459</v>
      </c>
      <c r="BK26" s="85">
        <f t="shared" si="20"/>
        <v>12489675.89362989</v>
      </c>
      <c r="BL26" s="92">
        <f t="shared" si="55"/>
        <v>0</v>
      </c>
      <c r="BM26" s="92">
        <f t="shared" si="56"/>
        <v>0</v>
      </c>
      <c r="BN26" s="85">
        <f t="shared" si="57"/>
        <v>5765.9542698162459</v>
      </c>
      <c r="BO26" s="85">
        <f t="shared" si="21"/>
        <v>12489675.89362989</v>
      </c>
      <c r="BP26" s="93">
        <f t="shared" si="22"/>
        <v>15000036.818669392</v>
      </c>
      <c r="BQ26" s="93">
        <f t="shared" si="23"/>
        <v>12549708.97424007</v>
      </c>
      <c r="BR26" s="94">
        <f t="shared" si="24"/>
        <v>0</v>
      </c>
      <c r="BS26" s="92">
        <f t="shared" si="25"/>
        <v>0</v>
      </c>
      <c r="BT26" s="95"/>
      <c r="BU26" s="85">
        <f t="shared" si="58"/>
        <v>5765.9542698162459</v>
      </c>
      <c r="BV26" s="85">
        <f t="shared" si="26"/>
        <v>12489675.89362989</v>
      </c>
      <c r="BW26" s="92">
        <f t="shared" si="59"/>
        <v>0</v>
      </c>
      <c r="BX26" s="92">
        <f t="shared" si="60"/>
        <v>0</v>
      </c>
      <c r="BY26" s="85">
        <f t="shared" si="61"/>
        <v>5765.9542698162459</v>
      </c>
      <c r="BZ26" s="85">
        <f t="shared" si="27"/>
        <v>12489675.89362989</v>
      </c>
      <c r="CA26" s="96">
        <f t="shared" si="28"/>
        <v>15000036.818669392</v>
      </c>
      <c r="CB26" s="96">
        <f t="shared" si="29"/>
        <v>12549708.97424007</v>
      </c>
      <c r="CC26" s="94">
        <f t="shared" si="30"/>
        <v>0</v>
      </c>
      <c r="CD26" s="92">
        <f t="shared" si="31"/>
        <v>0</v>
      </c>
      <c r="CE26" s="66"/>
      <c r="CF26" s="85">
        <f t="shared" si="62"/>
        <v>5765.9542698162459</v>
      </c>
      <c r="CG26" s="85">
        <f t="shared" si="32"/>
        <v>12489675.89362989</v>
      </c>
      <c r="CH26" s="92">
        <f t="shared" si="63"/>
        <v>0</v>
      </c>
      <c r="CI26" s="92">
        <f t="shared" si="64"/>
        <v>0</v>
      </c>
      <c r="CJ26" s="85">
        <f t="shared" si="65"/>
        <v>5765.9542698162459</v>
      </c>
      <c r="CK26" s="85">
        <f t="shared" si="33"/>
        <v>12489675.89362989</v>
      </c>
      <c r="CL26" s="97">
        <f t="shared" si="34"/>
        <v>0.99521637667188911</v>
      </c>
      <c r="CM26" s="261"/>
      <c r="CN26" s="295">
        <f t="shared" si="66"/>
        <v>5881.27</v>
      </c>
      <c r="CP26" s="85">
        <f t="shared" si="67"/>
        <v>5881.27</v>
      </c>
      <c r="CQ26" s="85">
        <f t="shared" si="68"/>
        <v>5293.1430000000009</v>
      </c>
      <c r="CR26" s="85">
        <f t="shared" si="69"/>
        <v>6469.3970000000008</v>
      </c>
      <c r="CS26" s="295">
        <f t="shared" si="70"/>
        <v>5881.273355212571</v>
      </c>
      <c r="CT26" s="295">
        <f t="shared" si="71"/>
        <v>5881.273355212571</v>
      </c>
      <c r="CU26" s="303"/>
      <c r="CV26" s="303"/>
    </row>
    <row r="27" spans="1:100" s="153" customFormat="1" ht="15" customHeight="1" x14ac:dyDescent="0.3">
      <c r="A27" s="174">
        <v>60034</v>
      </c>
      <c r="B27" s="176" t="s">
        <v>270</v>
      </c>
      <c r="C27" s="175">
        <f>VLOOKUP($A27,'Fed Bs Rt+IME+GME+VBP+RAA+HAC'!$B$5:$AC$88,15,FALSE)</f>
        <v>6521.7222690000008</v>
      </c>
      <c r="D27" s="175">
        <f>VLOOKUP($A27,'Fed Bs Rt+IME+GME+VBP+RAA+HAC'!$B$5:$AC$88,21,FALSE)</f>
        <v>216.04764641670005</v>
      </c>
      <c r="E27" s="175">
        <f>VLOOKUP($A27,'Fed Bs Rt+IME+GME+VBP+RAA+HAC'!$B$5:$AC$88,25,FALSE)</f>
        <v>-16.953581702399788</v>
      </c>
      <c r="F27" s="175">
        <f>VLOOKUP($A27,'Fed Bs Rt+IME+GME+VBP+RAA+HAC'!$B$5:$AC$88,23,FALSE)</f>
        <v>2.2402947249602221</v>
      </c>
      <c r="G27" s="175">
        <f>VLOOKUP($A27,'Fed Bs Rt+IME+GME+VBP+RAA+HAC'!$B$5:$AC$88,28,FALSE)</f>
        <v>0</v>
      </c>
      <c r="H27" s="175">
        <f t="shared" si="35"/>
        <v>201.33435943926048</v>
      </c>
      <c r="I27" s="175">
        <f>VLOOKUP($A27,'Fed Bs Rt+IME+GME+VBP+RAA+HAC'!$B$5:$AC$88,16,FALSE)</f>
        <v>23.032871105211662</v>
      </c>
      <c r="J27" s="175">
        <f t="shared" si="36"/>
        <v>0</v>
      </c>
      <c r="K27" s="175">
        <f t="shared" si="0"/>
        <v>0</v>
      </c>
      <c r="L27" s="294">
        <f>IF(OR(J27&gt;0,K27&gt;0,M27&gt;0),0,IF(VLOOKUP(A27,'Low Discharge'!A:C,3,FALSE)&lt;=L$3,L$1*C27,IF(VLOOKUP(A27,'Low Discharge'!A:C,3,FALSE)&gt;=L$2,0,(VLOOKUP(A27,'Low Discharge'!A:C,3,FALSE)-L$2)/(L$3-L$2)*L$1*C27)))</f>
        <v>0</v>
      </c>
      <c r="M27" s="170">
        <f>IF(VLOOKUP($A27,Characteristics!$A:$E,3,FALSE)=2,M$1*C27,0)</f>
        <v>0</v>
      </c>
      <c r="N27" s="170">
        <f>IF(VLOOKUP($A27,Characteristics!$A:$E,5,FALSE)&gt;=N$2,N$1*C27,IF(VLOOKUP($A27,Characteristics!$A:$E,5,FALSE)&lt;=N$3,0,(VLOOKUP($A27,Characteristics!$A:$E,5,FALSE)-N$3)/(N$2-N$3)*N$1*C27))</f>
        <v>0</v>
      </c>
      <c r="O27" s="170">
        <f>IF(VLOOKUP($A27,Characteristics!$A:$F,6,FALSE)&lt;=O$3,O$1*C27,IF(VLOOKUP($A27,Characteristics!$A:$F,6,FALSE)&gt;=O$2,0,(VLOOKUP($A27,Characteristics!$A:$F,6,FALSE)-O$2)/(O$3-O$2)*O$1*C27))</f>
        <v>0</v>
      </c>
      <c r="P27" s="175">
        <f t="shared" si="1"/>
        <v>6746.0894995444733</v>
      </c>
      <c r="Q27" s="175"/>
      <c r="R27" s="85">
        <v>5495.29</v>
      </c>
      <c r="S27" s="86">
        <f t="shared" si="37"/>
        <v>5632.6722499999996</v>
      </c>
      <c r="T27" s="85">
        <f t="shared" si="2"/>
        <v>28693162.091728315</v>
      </c>
      <c r="U27" s="88">
        <v>3148.1099999999997</v>
      </c>
      <c r="V27" s="89">
        <v>1.6181323157894736</v>
      </c>
      <c r="W27" s="90">
        <f t="shared" si="3"/>
        <v>34364974.723273836</v>
      </c>
      <c r="X27" s="98" t="s">
        <v>5</v>
      </c>
      <c r="Y27" s="85">
        <f t="shared" si="38"/>
        <v>5632.6722499999996</v>
      </c>
      <c r="Z27" s="85">
        <f t="shared" si="39"/>
        <v>5069.405025</v>
      </c>
      <c r="AA27" s="85">
        <f t="shared" si="40"/>
        <v>6195.9394750000001</v>
      </c>
      <c r="AB27" s="230"/>
      <c r="AC27" s="101"/>
      <c r="AD27" s="85">
        <f t="shared" si="41"/>
        <v>5624.4423705895206</v>
      </c>
      <c r="AE27" s="85">
        <f t="shared" si="4"/>
        <v>28651238.604360443</v>
      </c>
      <c r="AF27" s="92">
        <f t="shared" si="42"/>
        <v>0</v>
      </c>
      <c r="AG27" s="92">
        <f t="shared" si="43"/>
        <v>0</v>
      </c>
      <c r="AH27" s="85">
        <f t="shared" si="44"/>
        <v>5624.4423705895206</v>
      </c>
      <c r="AI27" s="85">
        <f t="shared" si="5"/>
        <v>28651238.604360443</v>
      </c>
      <c r="AJ27" s="93">
        <f t="shared" si="6"/>
        <v>34364974.723273836</v>
      </c>
      <c r="AK27" s="93">
        <f t="shared" si="7"/>
        <v>28693162.091728315</v>
      </c>
      <c r="AL27" s="94">
        <f t="shared" si="45"/>
        <v>0</v>
      </c>
      <c r="AM27" s="95"/>
      <c r="AN27" s="85">
        <f t="shared" si="46"/>
        <v>5607.2320607762404</v>
      </c>
      <c r="AO27" s="85">
        <f t="shared" si="8"/>
        <v>28563568.27894406</v>
      </c>
      <c r="AP27" s="92">
        <f t="shared" si="47"/>
        <v>0</v>
      </c>
      <c r="AQ27" s="92">
        <f t="shared" si="48"/>
        <v>0</v>
      </c>
      <c r="AR27" s="85">
        <f t="shared" si="49"/>
        <v>5607.2320607762404</v>
      </c>
      <c r="AS27" s="85">
        <f t="shared" si="9"/>
        <v>28563568.27894406</v>
      </c>
      <c r="AT27" s="93">
        <f t="shared" si="10"/>
        <v>34364974.723273836</v>
      </c>
      <c r="AU27" s="93">
        <f t="shared" si="11"/>
        <v>28693162.091728315</v>
      </c>
      <c r="AV27" s="94">
        <f t="shared" si="12"/>
        <v>0</v>
      </c>
      <c r="AW27" s="92">
        <f t="shared" si="13"/>
        <v>0</v>
      </c>
      <c r="AX27" s="95"/>
      <c r="AY27" s="85">
        <f t="shared" si="50"/>
        <v>5617.0843056773565</v>
      </c>
      <c r="AZ27" s="85">
        <f t="shared" si="14"/>
        <v>28613756.191069629</v>
      </c>
      <c r="BA27" s="92">
        <f t="shared" si="51"/>
        <v>0</v>
      </c>
      <c r="BB27" s="92">
        <f t="shared" si="52"/>
        <v>0</v>
      </c>
      <c r="BC27" s="85">
        <f t="shared" si="53"/>
        <v>5617.0843056773565</v>
      </c>
      <c r="BD27" s="85">
        <f t="shared" si="15"/>
        <v>28613756.191069629</v>
      </c>
      <c r="BE27" s="96">
        <f t="shared" si="16"/>
        <v>34364974.723273836</v>
      </c>
      <c r="BF27" s="96">
        <f t="shared" si="17"/>
        <v>28693162.091728315</v>
      </c>
      <c r="BG27" s="94">
        <f t="shared" si="18"/>
        <v>0</v>
      </c>
      <c r="BH27" s="92">
        <f t="shared" si="19"/>
        <v>0</v>
      </c>
      <c r="BI27" s="95"/>
      <c r="BJ27" s="85">
        <f t="shared" si="54"/>
        <v>5617.0843056773565</v>
      </c>
      <c r="BK27" s="85">
        <f t="shared" si="20"/>
        <v>28613756.191069629</v>
      </c>
      <c r="BL27" s="92">
        <f t="shared" si="55"/>
        <v>0</v>
      </c>
      <c r="BM27" s="92">
        <f t="shared" si="56"/>
        <v>0</v>
      </c>
      <c r="BN27" s="85">
        <f t="shared" si="57"/>
        <v>5617.0843056773565</v>
      </c>
      <c r="BO27" s="85">
        <f t="shared" si="21"/>
        <v>28613756.191069629</v>
      </c>
      <c r="BP27" s="93">
        <f t="shared" si="22"/>
        <v>34364974.723273836</v>
      </c>
      <c r="BQ27" s="93">
        <f t="shared" si="23"/>
        <v>28693162.091728315</v>
      </c>
      <c r="BR27" s="94">
        <f t="shared" si="24"/>
        <v>0</v>
      </c>
      <c r="BS27" s="92">
        <f t="shared" si="25"/>
        <v>0</v>
      </c>
      <c r="BT27" s="95"/>
      <c r="BU27" s="85">
        <f t="shared" si="58"/>
        <v>5617.0843056773565</v>
      </c>
      <c r="BV27" s="85">
        <f t="shared" si="26"/>
        <v>28613756.191069629</v>
      </c>
      <c r="BW27" s="92">
        <f t="shared" si="59"/>
        <v>0</v>
      </c>
      <c r="BX27" s="92">
        <f t="shared" si="60"/>
        <v>0</v>
      </c>
      <c r="BY27" s="85">
        <f t="shared" si="61"/>
        <v>5617.0843056773565</v>
      </c>
      <c r="BZ27" s="85">
        <f t="shared" si="27"/>
        <v>28613756.191069629</v>
      </c>
      <c r="CA27" s="96">
        <f t="shared" si="28"/>
        <v>34364974.723273836</v>
      </c>
      <c r="CB27" s="96">
        <f t="shared" si="29"/>
        <v>28693162.091728315</v>
      </c>
      <c r="CC27" s="94">
        <f t="shared" si="30"/>
        <v>0</v>
      </c>
      <c r="CD27" s="92">
        <f t="shared" si="31"/>
        <v>0</v>
      </c>
      <c r="CE27" s="66"/>
      <c r="CF27" s="85">
        <f t="shared" si="62"/>
        <v>5617.0843056773565</v>
      </c>
      <c r="CG27" s="85">
        <f t="shared" si="32"/>
        <v>28613756.191069629</v>
      </c>
      <c r="CH27" s="92">
        <f t="shared" si="63"/>
        <v>0</v>
      </c>
      <c r="CI27" s="92">
        <f t="shared" si="64"/>
        <v>0</v>
      </c>
      <c r="CJ27" s="85">
        <f t="shared" si="65"/>
        <v>5617.0843056773565</v>
      </c>
      <c r="CK27" s="85">
        <f t="shared" si="33"/>
        <v>28613756.191069629</v>
      </c>
      <c r="CL27" s="97">
        <f t="shared" si="34"/>
        <v>0.99723258452990171</v>
      </c>
      <c r="CM27" s="261"/>
      <c r="CN27" s="295">
        <f t="shared" si="66"/>
        <v>5729.43</v>
      </c>
      <c r="CP27" s="85">
        <f>CN27</f>
        <v>5729.43</v>
      </c>
      <c r="CQ27" s="85">
        <f t="shared" si="68"/>
        <v>5156.4870000000001</v>
      </c>
      <c r="CR27" s="85">
        <f t="shared" si="69"/>
        <v>6302.3730000000005</v>
      </c>
      <c r="CS27" s="295">
        <f>CF27*S$3</f>
        <v>5729.4259917909039</v>
      </c>
      <c r="CT27" s="295">
        <f t="shared" si="71"/>
        <v>5729.4259917909039</v>
      </c>
      <c r="CU27" s="303"/>
      <c r="CV27" s="303"/>
    </row>
    <row r="28" spans="1:100" s="153" customFormat="1" ht="15" customHeight="1" x14ac:dyDescent="0.3">
      <c r="A28" s="174">
        <v>60044</v>
      </c>
      <c r="B28" s="176" t="s">
        <v>271</v>
      </c>
      <c r="C28" s="175">
        <f>VLOOKUP($A28,'Fed Bs Rt+IME+GME+VBP+RAA+HAC'!$B$5:$AC$88,15,FALSE)</f>
        <v>6521.7222690000008</v>
      </c>
      <c r="D28" s="175">
        <f>VLOOKUP($A28,'Fed Bs Rt+IME+GME+VBP+RAA+HAC'!$B$5:$AC$88,21,FALSE)</f>
        <v>0</v>
      </c>
      <c r="E28" s="175">
        <f>VLOOKUP($A28,'Fed Bs Rt+IME+GME+VBP+RAA+HAC'!$B$5:$AC$88,25,FALSE)</f>
        <v>0</v>
      </c>
      <c r="F28" s="175">
        <f>VLOOKUP($A28,'Fed Bs Rt+IME+GME+VBP+RAA+HAC'!$B$5:$AC$88,23,FALSE)</f>
        <v>5.8126565836801092</v>
      </c>
      <c r="G28" s="175">
        <f>VLOOKUP($A28,'Fed Bs Rt+IME+GME+VBP+RAA+HAC'!$B$5:$AC$88,28,FALSE)</f>
        <v>0</v>
      </c>
      <c r="H28" s="175">
        <f t="shared" si="35"/>
        <v>5.8126565836801092</v>
      </c>
      <c r="I28" s="175">
        <f>VLOOKUP($A28,'Fed Bs Rt+IME+GME+VBP+RAA+HAC'!$B$5:$AC$88,16,FALSE)</f>
        <v>0</v>
      </c>
      <c r="J28" s="175">
        <f t="shared" si="36"/>
        <v>0</v>
      </c>
      <c r="K28" s="175">
        <f t="shared" si="0"/>
        <v>1304.3444538000003</v>
      </c>
      <c r="L28" s="294">
        <f>IF(OR(J28&gt;0,K28&gt;0,M28&gt;0),0,IF(VLOOKUP(A28,'Low Discharge'!A:C,3,FALSE)&lt;=L$3,L$1*C28,IF(VLOOKUP(A28,'Low Discharge'!A:C,3,FALSE)&gt;=L$2,0,(VLOOKUP(A28,'Low Discharge'!A:C,3,FALSE)-L$2)/(L$3-L$2)*L$1*C28)))</f>
        <v>0</v>
      </c>
      <c r="M28" s="170">
        <f>IF(VLOOKUP($A28,Characteristics!$A:$E,3,FALSE)=2,M$1*C28,0)</f>
        <v>0</v>
      </c>
      <c r="N28" s="170">
        <f>IF(VLOOKUP($A28,Characteristics!$A:$E,5,FALSE)&gt;=N$2,N$1*C28,IF(VLOOKUP($A28,Characteristics!$A:$E,5,FALSE)&lt;=N$3,0,(VLOOKUP($A28,Characteristics!$A:$E,5,FALSE)-N$3)/(N$2-N$3)*N$1*C28))</f>
        <v>153.6022143050933</v>
      </c>
      <c r="O28" s="170">
        <f>IF(VLOOKUP($A28,Characteristics!$A:$F,6,FALSE)&lt;=O$3,O$1*C28,IF(VLOOKUP($A28,Characteristics!$A:$F,6,FALSE)&gt;=O$2,0,(VLOOKUP($A28,Characteristics!$A:$F,6,FALSE)-O$2)/(O$3-O$2)*O$1*C28))</f>
        <v>0</v>
      </c>
      <c r="P28" s="175">
        <f t="shared" si="1"/>
        <v>7985.4815936887744</v>
      </c>
      <c r="Q28" s="175"/>
      <c r="R28" s="85">
        <v>6342.53</v>
      </c>
      <c r="S28" s="86">
        <f t="shared" si="37"/>
        <v>6501.093249999999</v>
      </c>
      <c r="T28" s="85">
        <f t="shared" si="2"/>
        <v>1125680.267343265</v>
      </c>
      <c r="U28" s="88">
        <v>311.49719999999996</v>
      </c>
      <c r="V28" s="89">
        <v>0.55587163120567373</v>
      </c>
      <c r="W28" s="90">
        <f t="shared" si="3"/>
        <v>1382705.7557201325</v>
      </c>
      <c r="X28" s="98" t="s">
        <v>5</v>
      </c>
      <c r="Y28" s="85">
        <f t="shared" si="38"/>
        <v>6501.093249999999</v>
      </c>
      <c r="Z28" s="85">
        <f t="shared" si="39"/>
        <v>5850.9839249999995</v>
      </c>
      <c r="AA28" s="85">
        <f t="shared" si="40"/>
        <v>7151.2025749999993</v>
      </c>
      <c r="AB28" s="230"/>
      <c r="AC28" s="101"/>
      <c r="AD28" s="85">
        <f t="shared" si="41"/>
        <v>6657.7653658669469</v>
      </c>
      <c r="AE28" s="85">
        <f t="shared" si="4"/>
        <v>1152808.4290988806</v>
      </c>
      <c r="AF28" s="92">
        <f t="shared" si="42"/>
        <v>0</v>
      </c>
      <c r="AG28" s="92">
        <f t="shared" si="43"/>
        <v>0</v>
      </c>
      <c r="AH28" s="85">
        <f t="shared" si="44"/>
        <v>6657.7653658669469</v>
      </c>
      <c r="AI28" s="85">
        <f t="shared" si="5"/>
        <v>1152808.4290988806</v>
      </c>
      <c r="AJ28" s="93">
        <f t="shared" si="6"/>
        <v>1382705.7557201325</v>
      </c>
      <c r="AK28" s="93">
        <f t="shared" si="7"/>
        <v>1125680.267343265</v>
      </c>
      <c r="AL28" s="94">
        <f t="shared" si="45"/>
        <v>0</v>
      </c>
      <c r="AM28" s="95"/>
      <c r="AN28" s="85">
        <f t="shared" si="46"/>
        <v>6637.3931765793723</v>
      </c>
      <c r="AO28" s="85">
        <f t="shared" si="8"/>
        <v>1149280.9344757872</v>
      </c>
      <c r="AP28" s="92">
        <f t="shared" si="47"/>
        <v>0</v>
      </c>
      <c r="AQ28" s="92">
        <f t="shared" si="48"/>
        <v>0</v>
      </c>
      <c r="AR28" s="85">
        <f t="shared" si="49"/>
        <v>6637.3931765793723</v>
      </c>
      <c r="AS28" s="85">
        <f t="shared" si="9"/>
        <v>1149280.9344757872</v>
      </c>
      <c r="AT28" s="93">
        <f t="shared" si="10"/>
        <v>1382705.7557201325</v>
      </c>
      <c r="AU28" s="93">
        <f t="shared" si="11"/>
        <v>1125680.267343265</v>
      </c>
      <c r="AV28" s="94">
        <f t="shared" si="12"/>
        <v>0</v>
      </c>
      <c r="AW28" s="92">
        <f t="shared" si="13"/>
        <v>0</v>
      </c>
      <c r="AX28" s="95"/>
      <c r="AY28" s="85">
        <f t="shared" si="50"/>
        <v>6649.0554766896357</v>
      </c>
      <c r="AZ28" s="85">
        <f t="shared" si="14"/>
        <v>1151300.2903904186</v>
      </c>
      <c r="BA28" s="92">
        <f t="shared" si="51"/>
        <v>0</v>
      </c>
      <c r="BB28" s="92">
        <f t="shared" si="52"/>
        <v>0</v>
      </c>
      <c r="BC28" s="85">
        <f t="shared" si="53"/>
        <v>6649.0554766896357</v>
      </c>
      <c r="BD28" s="85">
        <f t="shared" si="15"/>
        <v>1151300.2903904186</v>
      </c>
      <c r="BE28" s="96">
        <f t="shared" si="16"/>
        <v>1382705.7557201325</v>
      </c>
      <c r="BF28" s="96">
        <f t="shared" si="17"/>
        <v>1125680.267343265</v>
      </c>
      <c r="BG28" s="94">
        <f t="shared" si="18"/>
        <v>0</v>
      </c>
      <c r="BH28" s="92">
        <f t="shared" si="19"/>
        <v>0</v>
      </c>
      <c r="BI28" s="95"/>
      <c r="BJ28" s="85">
        <f t="shared" si="54"/>
        <v>6649.0554766896357</v>
      </c>
      <c r="BK28" s="85">
        <f t="shared" si="20"/>
        <v>1151300.2903904186</v>
      </c>
      <c r="BL28" s="92">
        <f t="shared" si="55"/>
        <v>0</v>
      </c>
      <c r="BM28" s="92">
        <f t="shared" si="56"/>
        <v>0</v>
      </c>
      <c r="BN28" s="85">
        <f t="shared" si="57"/>
        <v>6649.0554766896357</v>
      </c>
      <c r="BO28" s="85">
        <f t="shared" si="21"/>
        <v>1151300.2903904186</v>
      </c>
      <c r="BP28" s="93">
        <f t="shared" si="22"/>
        <v>1382705.7557201325</v>
      </c>
      <c r="BQ28" s="93">
        <f t="shared" si="23"/>
        <v>1125680.267343265</v>
      </c>
      <c r="BR28" s="94">
        <f t="shared" si="24"/>
        <v>0</v>
      </c>
      <c r="BS28" s="92">
        <f t="shared" si="25"/>
        <v>0</v>
      </c>
      <c r="BT28" s="95"/>
      <c r="BU28" s="85">
        <f t="shared" si="58"/>
        <v>6649.0554766896357</v>
      </c>
      <c r="BV28" s="85">
        <f t="shared" si="26"/>
        <v>1151300.2903904186</v>
      </c>
      <c r="BW28" s="92">
        <f t="shared" si="59"/>
        <v>0</v>
      </c>
      <c r="BX28" s="92">
        <f t="shared" si="60"/>
        <v>0</v>
      </c>
      <c r="BY28" s="85">
        <f t="shared" si="61"/>
        <v>6649.0554766896357</v>
      </c>
      <c r="BZ28" s="85">
        <f t="shared" si="27"/>
        <v>1151300.2903904186</v>
      </c>
      <c r="CA28" s="96">
        <f t="shared" si="28"/>
        <v>1382705.7557201325</v>
      </c>
      <c r="CB28" s="96">
        <f t="shared" si="29"/>
        <v>1125680.267343265</v>
      </c>
      <c r="CC28" s="94">
        <f t="shared" si="30"/>
        <v>0</v>
      </c>
      <c r="CD28" s="92">
        <f t="shared" si="31"/>
        <v>0</v>
      </c>
      <c r="CE28" s="66"/>
      <c r="CF28" s="85">
        <f t="shared" si="62"/>
        <v>6649.0554766896357</v>
      </c>
      <c r="CG28" s="85">
        <f t="shared" si="32"/>
        <v>1151300.2903904186</v>
      </c>
      <c r="CH28" s="92">
        <f t="shared" si="63"/>
        <v>0</v>
      </c>
      <c r="CI28" s="92">
        <f t="shared" si="64"/>
        <v>0</v>
      </c>
      <c r="CJ28" s="85">
        <f t="shared" si="65"/>
        <v>6649.0554766896357</v>
      </c>
      <c r="CK28" s="85">
        <f t="shared" si="33"/>
        <v>1151300.2903904186</v>
      </c>
      <c r="CL28" s="97">
        <f t="shared" si="34"/>
        <v>1.0227595915024965</v>
      </c>
      <c r="CM28" s="261"/>
      <c r="CN28" s="295">
        <f t="shared" si="66"/>
        <v>6782.04</v>
      </c>
      <c r="CP28" s="85">
        <f t="shared" si="67"/>
        <v>6782.04</v>
      </c>
      <c r="CQ28" s="85">
        <f t="shared" si="68"/>
        <v>6103.8360000000002</v>
      </c>
      <c r="CR28" s="85">
        <f t="shared" si="69"/>
        <v>7460.2440000000006</v>
      </c>
      <c r="CS28" s="295">
        <f t="shared" si="70"/>
        <v>6782.0365862234285</v>
      </c>
      <c r="CT28" s="295">
        <f t="shared" si="71"/>
        <v>6782.0365862234285</v>
      </c>
      <c r="CU28" s="303"/>
      <c r="CV28" s="303"/>
    </row>
    <row r="29" spans="1:100" s="153" customFormat="1" ht="15" customHeight="1" x14ac:dyDescent="0.3">
      <c r="A29" s="174">
        <v>60049</v>
      </c>
      <c r="B29" s="176" t="s">
        <v>271</v>
      </c>
      <c r="C29" s="175">
        <f>VLOOKUP($A29,'Fed Bs Rt+IME+GME+VBP+RAA+HAC'!$B$5:$AC$88,15,FALSE)</f>
        <v>6521.7222690000008</v>
      </c>
      <c r="D29" s="175">
        <f>VLOOKUP($A29,'Fed Bs Rt+IME+GME+VBP+RAA+HAC'!$B$5:$AC$88,21,FALSE)</f>
        <v>0</v>
      </c>
      <c r="E29" s="175">
        <f>VLOOKUP($A29,'Fed Bs Rt+IME+GME+VBP+RAA+HAC'!$B$5:$AC$88,25,FALSE)</f>
        <v>0</v>
      </c>
      <c r="F29" s="175">
        <f>VLOOKUP($A29,'Fed Bs Rt+IME+GME+VBP+RAA+HAC'!$B$5:$AC$88,23,FALSE)</f>
        <v>162.45164181263954</v>
      </c>
      <c r="G29" s="175">
        <f>VLOOKUP($A29,'Fed Bs Rt+IME+GME+VBP+RAA+HAC'!$B$5:$AC$88,28,FALSE)</f>
        <v>0</v>
      </c>
      <c r="H29" s="175">
        <f t="shared" si="35"/>
        <v>162.45164181263954</v>
      </c>
      <c r="I29" s="175">
        <f>VLOOKUP($A29,'Fed Bs Rt+IME+GME+VBP+RAA+HAC'!$B$5:$AC$88,16,FALSE)</f>
        <v>0</v>
      </c>
      <c r="J29" s="175">
        <f t="shared" si="36"/>
        <v>0</v>
      </c>
      <c r="K29" s="175">
        <f t="shared" si="0"/>
        <v>1304.3444538000003</v>
      </c>
      <c r="L29" s="294">
        <f>IF(OR(J29&gt;0,K29&gt;0,M29&gt;0),0,IF(VLOOKUP(A29,'Low Discharge'!A:C,3,FALSE)&lt;=L$3,L$1*C29,IF(VLOOKUP(A29,'Low Discharge'!A:C,3,FALSE)&gt;=L$2,0,(VLOOKUP(A29,'Low Discharge'!A:C,3,FALSE)-L$2)/(L$3-L$2)*L$1*C29)))</f>
        <v>0</v>
      </c>
      <c r="M29" s="170">
        <f>IF(VLOOKUP($A29,Characteristics!$A:$E,3,FALSE)=2,M$1*C29,0)</f>
        <v>0</v>
      </c>
      <c r="N29" s="170">
        <f>IF(VLOOKUP($A29,Characteristics!$A:$E,5,FALSE)&gt;=N$2,N$1*C29,IF(VLOOKUP($A29,Characteristics!$A:$E,5,FALSE)&lt;=N$3,0,(VLOOKUP($A29,Characteristics!$A:$E,5,FALSE)-N$3)/(N$2-N$3)*N$1*C29))</f>
        <v>0</v>
      </c>
      <c r="O29" s="170">
        <f>IF(VLOOKUP($A29,Characteristics!$A:$F,6,FALSE)&lt;=O$3,O$1*C29,IF(VLOOKUP($A29,Characteristics!$A:$F,6,FALSE)&gt;=O$2,0,(VLOOKUP($A29,Characteristics!$A:$F,6,FALSE)-O$2)/(O$3-O$2)*O$1*C29))</f>
        <v>0</v>
      </c>
      <c r="P29" s="175">
        <f t="shared" si="1"/>
        <v>7988.5183646126407</v>
      </c>
      <c r="Q29" s="175"/>
      <c r="R29" s="85">
        <v>9128.58</v>
      </c>
      <c r="S29" s="86">
        <f t="shared" si="37"/>
        <v>9356.7945</v>
      </c>
      <c r="T29" s="85">
        <f t="shared" si="2"/>
        <v>1652292.3059569676</v>
      </c>
      <c r="U29" s="88">
        <v>289.40519999999998</v>
      </c>
      <c r="V29" s="89">
        <v>0.61017366412213736</v>
      </c>
      <c r="W29" s="90">
        <f t="shared" si="3"/>
        <v>1410671.9378998228</v>
      </c>
      <c r="X29" s="92"/>
      <c r="Y29" s="85">
        <f t="shared" si="38"/>
        <v>9356.7945</v>
      </c>
      <c r="Z29" s="85">
        <f t="shared" si="39"/>
        <v>8421.1150500000003</v>
      </c>
      <c r="AA29" s="85">
        <f t="shared" si="40"/>
        <v>10292.473950000001</v>
      </c>
      <c r="AB29" s="230"/>
      <c r="AC29" s="99"/>
      <c r="AD29" s="85">
        <f t="shared" si="41"/>
        <v>6660.2972242206079</v>
      </c>
      <c r="AE29" s="85">
        <f t="shared" si="4"/>
        <v>1176124.778519637</v>
      </c>
      <c r="AF29" s="92">
        <f t="shared" si="42"/>
        <v>1</v>
      </c>
      <c r="AG29" s="92">
        <f t="shared" si="43"/>
        <v>0</v>
      </c>
      <c r="AH29" s="85">
        <f t="shared" si="44"/>
        <v>8421.1150500000003</v>
      </c>
      <c r="AI29" s="85">
        <f t="shared" si="5"/>
        <v>1487063.0753612709</v>
      </c>
      <c r="AJ29" s="93">
        <f t="shared" si="6"/>
        <v>0</v>
      </c>
      <c r="AK29" s="93">
        <f t="shared" si="7"/>
        <v>165229.23059569672</v>
      </c>
      <c r="AL29" s="94">
        <f t="shared" si="45"/>
        <v>1</v>
      </c>
      <c r="AM29" s="95"/>
      <c r="AN29" s="85">
        <f t="shared" si="46"/>
        <v>8421.1150500000003</v>
      </c>
      <c r="AO29" s="85">
        <f t="shared" si="8"/>
        <v>1487063.0753612709</v>
      </c>
      <c r="AP29" s="92">
        <f t="shared" si="47"/>
        <v>1</v>
      </c>
      <c r="AQ29" s="92">
        <f t="shared" si="48"/>
        <v>0</v>
      </c>
      <c r="AR29" s="85">
        <f t="shared" si="49"/>
        <v>8421.1150500000003</v>
      </c>
      <c r="AS29" s="85">
        <f t="shared" si="9"/>
        <v>1487063.0753612709</v>
      </c>
      <c r="AT29" s="93">
        <f t="shared" si="10"/>
        <v>0</v>
      </c>
      <c r="AU29" s="93">
        <f t="shared" si="11"/>
        <v>165229.23059569672</v>
      </c>
      <c r="AV29" s="94">
        <f t="shared" si="12"/>
        <v>1</v>
      </c>
      <c r="AW29" s="92">
        <f t="shared" si="13"/>
        <v>0</v>
      </c>
      <c r="AX29" s="95"/>
      <c r="AY29" s="85">
        <f t="shared" si="50"/>
        <v>8421.1150500000003</v>
      </c>
      <c r="AZ29" s="85">
        <f t="shared" si="14"/>
        <v>1487063.0753612709</v>
      </c>
      <c r="BA29" s="92">
        <f t="shared" si="51"/>
        <v>1</v>
      </c>
      <c r="BB29" s="92">
        <f t="shared" si="52"/>
        <v>0</v>
      </c>
      <c r="BC29" s="85">
        <f t="shared" si="53"/>
        <v>8421.1150500000003</v>
      </c>
      <c r="BD29" s="85">
        <f t="shared" si="15"/>
        <v>1487063.0753612709</v>
      </c>
      <c r="BE29" s="96">
        <f t="shared" si="16"/>
        <v>0</v>
      </c>
      <c r="BF29" s="96">
        <f t="shared" si="17"/>
        <v>165229.23059569672</v>
      </c>
      <c r="BG29" s="94">
        <f t="shared" si="18"/>
        <v>1</v>
      </c>
      <c r="BH29" s="92">
        <f t="shared" si="19"/>
        <v>0</v>
      </c>
      <c r="BI29" s="95"/>
      <c r="BJ29" s="85">
        <f t="shared" si="54"/>
        <v>8421.1150500000003</v>
      </c>
      <c r="BK29" s="85">
        <f t="shared" si="20"/>
        <v>1487063.0753612709</v>
      </c>
      <c r="BL29" s="92">
        <f t="shared" si="55"/>
        <v>1</v>
      </c>
      <c r="BM29" s="92">
        <f t="shared" si="56"/>
        <v>0</v>
      </c>
      <c r="BN29" s="85">
        <f t="shared" si="57"/>
        <v>8421.1150500000003</v>
      </c>
      <c r="BO29" s="85">
        <f t="shared" si="21"/>
        <v>1487063.0753612709</v>
      </c>
      <c r="BP29" s="93">
        <f t="shared" si="22"/>
        <v>0</v>
      </c>
      <c r="BQ29" s="93">
        <f t="shared" si="23"/>
        <v>165229.23059569672</v>
      </c>
      <c r="BR29" s="94">
        <f t="shared" si="24"/>
        <v>1</v>
      </c>
      <c r="BS29" s="92">
        <f t="shared" si="25"/>
        <v>0</v>
      </c>
      <c r="BT29" s="95"/>
      <c r="BU29" s="85">
        <f t="shared" si="58"/>
        <v>8421.1150500000003</v>
      </c>
      <c r="BV29" s="85">
        <f t="shared" si="26"/>
        <v>1487063.0753612709</v>
      </c>
      <c r="BW29" s="92">
        <f t="shared" si="59"/>
        <v>1</v>
      </c>
      <c r="BX29" s="92">
        <f t="shared" si="60"/>
        <v>0</v>
      </c>
      <c r="BY29" s="85">
        <f t="shared" si="61"/>
        <v>8421.1150500000003</v>
      </c>
      <c r="BZ29" s="85">
        <f t="shared" si="27"/>
        <v>1487063.0753612709</v>
      </c>
      <c r="CA29" s="96">
        <f t="shared" si="28"/>
        <v>0</v>
      </c>
      <c r="CB29" s="96">
        <f t="shared" si="29"/>
        <v>165229.23059569672</v>
      </c>
      <c r="CC29" s="94">
        <f t="shared" si="30"/>
        <v>1</v>
      </c>
      <c r="CD29" s="92">
        <f t="shared" si="31"/>
        <v>0</v>
      </c>
      <c r="CE29" s="66"/>
      <c r="CF29" s="85">
        <f t="shared" si="62"/>
        <v>6651.5840227899416</v>
      </c>
      <c r="CG29" s="85">
        <f t="shared" si="32"/>
        <v>1174586.1366605964</v>
      </c>
      <c r="CH29" s="92">
        <f t="shared" si="63"/>
        <v>1</v>
      </c>
      <c r="CI29" s="92">
        <f t="shared" si="64"/>
        <v>0</v>
      </c>
      <c r="CJ29" s="85">
        <f t="shared" si="65"/>
        <v>8421.1150500000003</v>
      </c>
      <c r="CK29" s="85">
        <f t="shared" si="33"/>
        <v>1487063.0753612709</v>
      </c>
      <c r="CL29" s="97">
        <f t="shared" si="34"/>
        <v>0.9</v>
      </c>
      <c r="CM29" s="261"/>
      <c r="CN29" s="295">
        <f t="shared" si="66"/>
        <v>8589.5400000000009</v>
      </c>
      <c r="CP29" s="85">
        <f t="shared" si="67"/>
        <v>8589.5400000000009</v>
      </c>
      <c r="CQ29" s="85">
        <f t="shared" si="68"/>
        <v>7730.5860000000011</v>
      </c>
      <c r="CR29" s="85">
        <f t="shared" si="69"/>
        <v>9448.4940000000024</v>
      </c>
      <c r="CS29" s="295">
        <f t="shared" si="70"/>
        <v>6784.6157032457404</v>
      </c>
      <c r="CT29" s="295">
        <f t="shared" si="71"/>
        <v>7730.5860000000011</v>
      </c>
      <c r="CU29" s="303"/>
      <c r="CV29" s="303"/>
    </row>
    <row r="30" spans="1:100" s="153" customFormat="1" ht="15" customHeight="1" x14ac:dyDescent="0.3">
      <c r="A30" s="174">
        <v>60054</v>
      </c>
      <c r="B30" s="176" t="s">
        <v>270</v>
      </c>
      <c r="C30" s="175">
        <f>VLOOKUP($A30,'Fed Bs Rt+IME+GME+VBP+RAA+HAC'!$B$5:$AC$88,15,FALSE)</f>
        <v>6521.7222690000008</v>
      </c>
      <c r="D30" s="175">
        <f>VLOOKUP($A30,'Fed Bs Rt+IME+GME+VBP+RAA+HAC'!$B$5:$AC$88,21,FALSE)</f>
        <v>0</v>
      </c>
      <c r="E30" s="175">
        <f>VLOOKUP($A30,'Fed Bs Rt+IME+GME+VBP+RAA+HAC'!$B$5:$AC$88,25,FALSE)</f>
        <v>0</v>
      </c>
      <c r="F30" s="175">
        <f>VLOOKUP($A30,'Fed Bs Rt+IME+GME+VBP+RAA+HAC'!$B$5:$AC$88,23,FALSE)</f>
        <v>-12.351895240320255</v>
      </c>
      <c r="G30" s="175">
        <f>VLOOKUP($A30,'Fed Bs Rt+IME+GME+VBP+RAA+HAC'!$B$5:$AC$88,28,FALSE)</f>
        <v>-65.217222690000014</v>
      </c>
      <c r="H30" s="175">
        <f t="shared" si="35"/>
        <v>-77.569117930320274</v>
      </c>
      <c r="I30" s="175">
        <f>VLOOKUP($A30,'Fed Bs Rt+IME+GME+VBP+RAA+HAC'!$B$5:$AC$88,16,FALSE)</f>
        <v>0</v>
      </c>
      <c r="J30" s="175">
        <f t="shared" si="36"/>
        <v>0</v>
      </c>
      <c r="K30" s="175">
        <f t="shared" si="0"/>
        <v>0</v>
      </c>
      <c r="L30" s="294">
        <f>IF(OR(J30&gt;0,K30&gt;0,M30&gt;0),0,IF(VLOOKUP(A30,'Low Discharge'!A:C,3,FALSE)&lt;=L$3,L$1*C30,IF(VLOOKUP(A30,'Low Discharge'!A:C,3,FALSE)&gt;=L$2,0,(VLOOKUP(A30,'Low Discharge'!A:C,3,FALSE)-L$2)/(L$3-L$2)*L$1*C30)))</f>
        <v>0</v>
      </c>
      <c r="M30" s="170">
        <f>IF(VLOOKUP($A30,Characteristics!$A:$E,3,FALSE)=2,M$1*C30,0)</f>
        <v>0</v>
      </c>
      <c r="N30" s="170">
        <f>IF(VLOOKUP($A30,Characteristics!$A:$E,5,FALSE)&gt;=N$2,N$1*C30,IF(VLOOKUP($A30,Characteristics!$A:$E,5,FALSE)&lt;=N$3,0,(VLOOKUP($A30,Characteristics!$A:$E,5,FALSE)-N$3)/(N$2-N$3)*N$1*C30))</f>
        <v>0</v>
      </c>
      <c r="O30" s="170">
        <f>IF(VLOOKUP($A30,Characteristics!$A:$F,6,FALSE)&lt;=O$3,O$1*C30,IF(VLOOKUP($A30,Characteristics!$A:$F,6,FALSE)&gt;=O$2,0,(VLOOKUP($A30,Characteristics!$A:$F,6,FALSE)-O$2)/(O$3-O$2)*O$1*C30))</f>
        <v>0</v>
      </c>
      <c r="P30" s="175">
        <f t="shared" si="1"/>
        <v>6444.1531510696805</v>
      </c>
      <c r="Q30" s="175"/>
      <c r="R30" s="85">
        <v>5330.13</v>
      </c>
      <c r="S30" s="86">
        <f t="shared" si="37"/>
        <v>5463.3832499999999</v>
      </c>
      <c r="T30" s="85">
        <f t="shared" si="2"/>
        <v>999139.94128402276</v>
      </c>
      <c r="U30" s="88">
        <v>281.673</v>
      </c>
      <c r="V30" s="89">
        <v>0.64926117647058823</v>
      </c>
      <c r="W30" s="90">
        <f t="shared" si="3"/>
        <v>1178502.4967788979</v>
      </c>
      <c r="X30" s="98" t="s">
        <v>5</v>
      </c>
      <c r="Y30" s="85">
        <f t="shared" si="38"/>
        <v>5463.3832499999999</v>
      </c>
      <c r="Z30" s="85">
        <f t="shared" si="39"/>
        <v>4917.0449250000001</v>
      </c>
      <c r="AA30" s="85">
        <f t="shared" si="40"/>
        <v>6009.7215750000005</v>
      </c>
      <c r="AB30" s="230"/>
      <c r="AC30" s="101"/>
      <c r="AD30" s="85">
        <f t="shared" si="41"/>
        <v>5372.7078521403691</v>
      </c>
      <c r="AE30" s="85">
        <f t="shared" si="4"/>
        <v>982557.28406454669</v>
      </c>
      <c r="AF30" s="92">
        <f t="shared" si="42"/>
        <v>0</v>
      </c>
      <c r="AG30" s="92">
        <f t="shared" si="43"/>
        <v>0</v>
      </c>
      <c r="AH30" s="85">
        <f t="shared" si="44"/>
        <v>5372.7078521403691</v>
      </c>
      <c r="AI30" s="85">
        <f t="shared" si="5"/>
        <v>982557.28406454669</v>
      </c>
      <c r="AJ30" s="93">
        <f t="shared" si="6"/>
        <v>1178502.4967788979</v>
      </c>
      <c r="AK30" s="93">
        <f t="shared" si="7"/>
        <v>999139.94128402276</v>
      </c>
      <c r="AL30" s="94">
        <f t="shared" si="45"/>
        <v>0</v>
      </c>
      <c r="AM30" s="95"/>
      <c r="AN30" s="85">
        <f t="shared" si="46"/>
        <v>5356.2678282981669</v>
      </c>
      <c r="AO30" s="85">
        <f t="shared" si="8"/>
        <v>979550.7432994619</v>
      </c>
      <c r="AP30" s="92">
        <f t="shared" si="47"/>
        <v>0</v>
      </c>
      <c r="AQ30" s="92">
        <f t="shared" si="48"/>
        <v>0</v>
      </c>
      <c r="AR30" s="85">
        <f t="shared" si="49"/>
        <v>5356.2678282981669</v>
      </c>
      <c r="AS30" s="85">
        <f t="shared" si="9"/>
        <v>979550.7432994619</v>
      </c>
      <c r="AT30" s="93">
        <f t="shared" si="10"/>
        <v>1178502.4967788979</v>
      </c>
      <c r="AU30" s="93">
        <f t="shared" si="11"/>
        <v>999139.94128402276</v>
      </c>
      <c r="AV30" s="94">
        <f t="shared" si="12"/>
        <v>0</v>
      </c>
      <c r="AW30" s="92">
        <f t="shared" si="13"/>
        <v>0</v>
      </c>
      <c r="AX30" s="95"/>
      <c r="AY30" s="85">
        <f t="shared" si="50"/>
        <v>5365.6791139072493</v>
      </c>
      <c r="AZ30" s="85">
        <f t="shared" si="14"/>
        <v>981271.87303182436</v>
      </c>
      <c r="BA30" s="92">
        <f t="shared" si="51"/>
        <v>0</v>
      </c>
      <c r="BB30" s="92">
        <f t="shared" si="52"/>
        <v>0</v>
      </c>
      <c r="BC30" s="85">
        <f t="shared" si="53"/>
        <v>5365.6791139072493</v>
      </c>
      <c r="BD30" s="85">
        <f t="shared" si="15"/>
        <v>981271.87303182436</v>
      </c>
      <c r="BE30" s="96">
        <f t="shared" si="16"/>
        <v>1178502.4967788979</v>
      </c>
      <c r="BF30" s="96">
        <f t="shared" si="17"/>
        <v>999139.94128402276</v>
      </c>
      <c r="BG30" s="94">
        <f t="shared" si="18"/>
        <v>0</v>
      </c>
      <c r="BH30" s="92">
        <f t="shared" si="19"/>
        <v>0</v>
      </c>
      <c r="BI30" s="95"/>
      <c r="BJ30" s="85">
        <f t="shared" si="54"/>
        <v>5365.6791139072493</v>
      </c>
      <c r="BK30" s="85">
        <f t="shared" si="20"/>
        <v>981271.87303182436</v>
      </c>
      <c r="BL30" s="92">
        <f t="shared" si="55"/>
        <v>0</v>
      </c>
      <c r="BM30" s="92">
        <f t="shared" si="56"/>
        <v>0</v>
      </c>
      <c r="BN30" s="85">
        <f t="shared" si="57"/>
        <v>5365.6791139072493</v>
      </c>
      <c r="BO30" s="85">
        <f t="shared" si="21"/>
        <v>981271.87303182436</v>
      </c>
      <c r="BP30" s="93">
        <f t="shared" si="22"/>
        <v>1178502.4967788979</v>
      </c>
      <c r="BQ30" s="93">
        <f t="shared" si="23"/>
        <v>999139.94128402276</v>
      </c>
      <c r="BR30" s="94">
        <f t="shared" si="24"/>
        <v>0</v>
      </c>
      <c r="BS30" s="92">
        <f t="shared" si="25"/>
        <v>0</v>
      </c>
      <c r="BT30" s="95"/>
      <c r="BU30" s="85">
        <f t="shared" si="58"/>
        <v>5365.6791139072493</v>
      </c>
      <c r="BV30" s="85">
        <f t="shared" si="26"/>
        <v>981271.87303182436</v>
      </c>
      <c r="BW30" s="92">
        <f t="shared" si="59"/>
        <v>0</v>
      </c>
      <c r="BX30" s="92">
        <f t="shared" si="60"/>
        <v>0</v>
      </c>
      <c r="BY30" s="85">
        <f t="shared" si="61"/>
        <v>5365.6791139072493</v>
      </c>
      <c r="BZ30" s="85">
        <f t="shared" si="27"/>
        <v>981271.87303182436</v>
      </c>
      <c r="CA30" s="96">
        <f t="shared" si="28"/>
        <v>1178502.4967788979</v>
      </c>
      <c r="CB30" s="96">
        <f t="shared" si="29"/>
        <v>999139.94128402276</v>
      </c>
      <c r="CC30" s="94">
        <f t="shared" si="30"/>
        <v>0</v>
      </c>
      <c r="CD30" s="92">
        <f t="shared" si="31"/>
        <v>0</v>
      </c>
      <c r="CE30" s="66"/>
      <c r="CF30" s="85">
        <f t="shared" si="62"/>
        <v>5365.6791139072493</v>
      </c>
      <c r="CG30" s="85">
        <f t="shared" si="32"/>
        <v>981271.87303182436</v>
      </c>
      <c r="CH30" s="92">
        <f t="shared" si="63"/>
        <v>0</v>
      </c>
      <c r="CI30" s="92">
        <f t="shared" si="64"/>
        <v>0</v>
      </c>
      <c r="CJ30" s="85">
        <f t="shared" si="65"/>
        <v>5365.6791139072493</v>
      </c>
      <c r="CK30" s="85">
        <f t="shared" si="33"/>
        <v>981271.87303182436</v>
      </c>
      <c r="CL30" s="97">
        <f t="shared" si="34"/>
        <v>0.9821165509315587</v>
      </c>
      <c r="CM30" s="261"/>
      <c r="CN30" s="295">
        <f t="shared" si="66"/>
        <v>5472.99</v>
      </c>
      <c r="CP30" s="85">
        <f t="shared" si="67"/>
        <v>5472.99</v>
      </c>
      <c r="CQ30" s="85">
        <f t="shared" si="68"/>
        <v>4925.6909999999998</v>
      </c>
      <c r="CR30" s="85">
        <f t="shared" si="69"/>
        <v>6020.2890000000007</v>
      </c>
      <c r="CS30" s="295">
        <f t="shared" si="70"/>
        <v>5472.9926961853944</v>
      </c>
      <c r="CT30" s="295">
        <f t="shared" si="71"/>
        <v>5472.9926961853944</v>
      </c>
      <c r="CU30" s="303"/>
      <c r="CV30" s="303"/>
    </row>
    <row r="31" spans="1:100" s="153" customFormat="1" ht="15" customHeight="1" x14ac:dyDescent="0.3">
      <c r="A31" s="174">
        <v>60064</v>
      </c>
      <c r="B31" s="176" t="s">
        <v>270</v>
      </c>
      <c r="C31" s="175">
        <f>VLOOKUP($A31,'Fed Bs Rt+IME+GME+VBP+RAA+HAC'!$B$5:$AC$88,15,FALSE)</f>
        <v>6521.7222690000008</v>
      </c>
      <c r="D31" s="175">
        <f>VLOOKUP($A31,'Fed Bs Rt+IME+GME+VBP+RAA+HAC'!$B$5:$AC$88,21,FALSE)</f>
        <v>0</v>
      </c>
      <c r="E31" s="175">
        <f>VLOOKUP($A31,'Fed Bs Rt+IME+GME+VBP+RAA+HAC'!$B$5:$AC$88,25,FALSE)</f>
        <v>-3.0274253039997348</v>
      </c>
      <c r="F31" s="175">
        <f>VLOOKUP($A31,'Fed Bs Rt+IME+GME+VBP+RAA+HAC'!$B$5:$AC$88,23,FALSE)</f>
        <v>-3.572361858719876</v>
      </c>
      <c r="G31" s="175">
        <f>VLOOKUP($A31,'Fed Bs Rt+IME+GME+VBP+RAA+HAC'!$B$5:$AC$88,28,FALSE)</f>
        <v>-65.217222690000014</v>
      </c>
      <c r="H31" s="175">
        <f t="shared" si="35"/>
        <v>-71.817009852719622</v>
      </c>
      <c r="I31" s="175">
        <f>VLOOKUP($A31,'Fed Bs Rt+IME+GME+VBP+RAA+HAC'!$B$5:$AC$88,16,FALSE)</f>
        <v>0</v>
      </c>
      <c r="J31" s="175">
        <f t="shared" si="36"/>
        <v>0</v>
      </c>
      <c r="K31" s="175">
        <f t="shared" si="0"/>
        <v>0</v>
      </c>
      <c r="L31" s="294">
        <f>IF(OR(J31&gt;0,K31&gt;0,M31&gt;0),0,IF(VLOOKUP(A31,'Low Discharge'!A:C,3,FALSE)&lt;=L$3,L$1*C31,IF(VLOOKUP(A31,'Low Discharge'!A:C,3,FALSE)&gt;=L$2,0,(VLOOKUP(A31,'Low Discharge'!A:C,3,FALSE)-L$2)/(L$3-L$2)*L$1*C31)))</f>
        <v>0</v>
      </c>
      <c r="M31" s="170">
        <f>IF(VLOOKUP($A31,Characteristics!$A:$E,3,FALSE)=2,M$1*C31,0)</f>
        <v>0</v>
      </c>
      <c r="N31" s="170">
        <f>IF(VLOOKUP($A31,Characteristics!$A:$E,5,FALSE)&gt;=N$2,N$1*C31,IF(VLOOKUP($A31,Characteristics!$A:$E,5,FALSE)&lt;=N$3,0,(VLOOKUP($A31,Characteristics!$A:$E,5,FALSE)-N$3)/(N$2-N$3)*N$1*C31))</f>
        <v>0</v>
      </c>
      <c r="O31" s="170">
        <f>IF(VLOOKUP($A31,Characteristics!$A:$F,6,FALSE)&lt;=O$3,O$1*C31,IF(VLOOKUP($A31,Characteristics!$A:$F,6,FALSE)&gt;=O$2,0,(VLOOKUP($A31,Characteristics!$A:$F,6,FALSE)-O$2)/(O$3-O$2)*O$1*C31))</f>
        <v>0</v>
      </c>
      <c r="P31" s="175">
        <f t="shared" si="1"/>
        <v>6449.905259147281</v>
      </c>
      <c r="Q31" s="175"/>
      <c r="R31" s="85">
        <v>5216.99</v>
      </c>
      <c r="S31" s="86">
        <f t="shared" si="37"/>
        <v>5347.414749999999</v>
      </c>
      <c r="T31" s="85">
        <f t="shared" si="2"/>
        <v>11315878.789367784</v>
      </c>
      <c r="U31" s="88">
        <v>967.62959999999998</v>
      </c>
      <c r="V31" s="89">
        <v>2.1869319634703199</v>
      </c>
      <c r="W31" s="90">
        <f t="shared" si="3"/>
        <v>13648903.166790355</v>
      </c>
      <c r="X31" s="98" t="s">
        <v>5</v>
      </c>
      <c r="Y31" s="85">
        <f t="shared" si="38"/>
        <v>5347.414749999999</v>
      </c>
      <c r="Z31" s="85">
        <f t="shared" si="39"/>
        <v>4812.6732749999992</v>
      </c>
      <c r="AA31" s="85">
        <f t="shared" si="40"/>
        <v>5882.1562249999997</v>
      </c>
      <c r="AB31" s="230"/>
      <c r="AC31" s="99"/>
      <c r="AD31" s="85">
        <f t="shared" si="41"/>
        <v>5377.5035786711323</v>
      </c>
      <c r="AE31" s="85">
        <f t="shared" si="4"/>
        <v>11379550.966312092</v>
      </c>
      <c r="AF31" s="92">
        <f t="shared" si="42"/>
        <v>0</v>
      </c>
      <c r="AG31" s="92">
        <f t="shared" si="43"/>
        <v>0</v>
      </c>
      <c r="AH31" s="85">
        <f t="shared" si="44"/>
        <v>5377.5035786711323</v>
      </c>
      <c r="AI31" s="85">
        <f t="shared" si="5"/>
        <v>11379550.966312092</v>
      </c>
      <c r="AJ31" s="93">
        <f t="shared" si="6"/>
        <v>13648903.166790355</v>
      </c>
      <c r="AK31" s="93">
        <f t="shared" si="7"/>
        <v>11315878.789367784</v>
      </c>
      <c r="AL31" s="94">
        <f t="shared" si="45"/>
        <v>0</v>
      </c>
      <c r="AM31" s="95"/>
      <c r="AN31" s="85">
        <f t="shared" si="46"/>
        <v>5361.0488803182971</v>
      </c>
      <c r="AO31" s="85">
        <f t="shared" si="8"/>
        <v>11344730.51927714</v>
      </c>
      <c r="AP31" s="92">
        <f t="shared" si="47"/>
        <v>0</v>
      </c>
      <c r="AQ31" s="92">
        <f t="shared" si="48"/>
        <v>0</v>
      </c>
      <c r="AR31" s="85">
        <f t="shared" si="49"/>
        <v>5361.0488803182971</v>
      </c>
      <c r="AS31" s="85">
        <f t="shared" si="9"/>
        <v>11344730.51927714</v>
      </c>
      <c r="AT31" s="93">
        <f t="shared" si="10"/>
        <v>13648903.166790355</v>
      </c>
      <c r="AU31" s="93">
        <f t="shared" si="11"/>
        <v>11315878.789367784</v>
      </c>
      <c r="AV31" s="94">
        <f t="shared" si="12"/>
        <v>0</v>
      </c>
      <c r="AW31" s="92">
        <f t="shared" si="13"/>
        <v>0</v>
      </c>
      <c r="AX31" s="95"/>
      <c r="AY31" s="85">
        <f t="shared" si="50"/>
        <v>5370.4685665241213</v>
      </c>
      <c r="AZ31" s="85">
        <f t="shared" si="14"/>
        <v>11364663.8949965</v>
      </c>
      <c r="BA31" s="92">
        <f t="shared" si="51"/>
        <v>0</v>
      </c>
      <c r="BB31" s="92">
        <f t="shared" si="52"/>
        <v>0</v>
      </c>
      <c r="BC31" s="85">
        <f t="shared" si="53"/>
        <v>5370.4685665241213</v>
      </c>
      <c r="BD31" s="85">
        <f t="shared" si="15"/>
        <v>11364663.8949965</v>
      </c>
      <c r="BE31" s="96">
        <f t="shared" si="16"/>
        <v>13648903.166790355</v>
      </c>
      <c r="BF31" s="96">
        <f t="shared" si="17"/>
        <v>11315878.789367784</v>
      </c>
      <c r="BG31" s="94">
        <f t="shared" si="18"/>
        <v>0</v>
      </c>
      <c r="BH31" s="92">
        <f t="shared" si="19"/>
        <v>0</v>
      </c>
      <c r="BI31" s="95"/>
      <c r="BJ31" s="85">
        <f t="shared" si="54"/>
        <v>5370.4685665241213</v>
      </c>
      <c r="BK31" s="85">
        <f t="shared" si="20"/>
        <v>11364663.8949965</v>
      </c>
      <c r="BL31" s="92">
        <f t="shared" si="55"/>
        <v>0</v>
      </c>
      <c r="BM31" s="92">
        <f t="shared" si="56"/>
        <v>0</v>
      </c>
      <c r="BN31" s="85">
        <f t="shared" si="57"/>
        <v>5370.4685665241213</v>
      </c>
      <c r="BO31" s="85">
        <f t="shared" si="21"/>
        <v>11364663.8949965</v>
      </c>
      <c r="BP31" s="93">
        <f t="shared" si="22"/>
        <v>13648903.166790355</v>
      </c>
      <c r="BQ31" s="93">
        <f t="shared" si="23"/>
        <v>11315878.789367784</v>
      </c>
      <c r="BR31" s="94">
        <f t="shared" si="24"/>
        <v>0</v>
      </c>
      <c r="BS31" s="92">
        <f t="shared" si="25"/>
        <v>0</v>
      </c>
      <c r="BT31" s="95"/>
      <c r="BU31" s="85">
        <f t="shared" si="58"/>
        <v>5370.4685665241213</v>
      </c>
      <c r="BV31" s="85">
        <f t="shared" si="26"/>
        <v>11364663.8949965</v>
      </c>
      <c r="BW31" s="92">
        <f t="shared" si="59"/>
        <v>0</v>
      </c>
      <c r="BX31" s="92">
        <f t="shared" si="60"/>
        <v>0</v>
      </c>
      <c r="BY31" s="85">
        <f t="shared" si="61"/>
        <v>5370.4685665241213</v>
      </c>
      <c r="BZ31" s="85">
        <f t="shared" si="27"/>
        <v>11364663.8949965</v>
      </c>
      <c r="CA31" s="96">
        <f t="shared" si="28"/>
        <v>13648903.166790355</v>
      </c>
      <c r="CB31" s="96">
        <f t="shared" si="29"/>
        <v>11315878.789367784</v>
      </c>
      <c r="CC31" s="94">
        <f t="shared" si="30"/>
        <v>0</v>
      </c>
      <c r="CD31" s="92">
        <f t="shared" si="31"/>
        <v>0</v>
      </c>
      <c r="CE31" s="66"/>
      <c r="CF31" s="85">
        <f t="shared" si="62"/>
        <v>5370.4685665241213</v>
      </c>
      <c r="CG31" s="85">
        <f t="shared" si="32"/>
        <v>11364663.8949965</v>
      </c>
      <c r="CH31" s="92">
        <f t="shared" si="63"/>
        <v>0</v>
      </c>
      <c r="CI31" s="92">
        <f t="shared" si="64"/>
        <v>0</v>
      </c>
      <c r="CJ31" s="85">
        <f t="shared" si="65"/>
        <v>5370.4685665241213</v>
      </c>
      <c r="CK31" s="85">
        <f t="shared" si="33"/>
        <v>11364663.8949965</v>
      </c>
      <c r="CL31" s="97">
        <f t="shared" si="34"/>
        <v>1.0043112078643466</v>
      </c>
      <c r="CM31" s="261"/>
      <c r="CN31" s="295">
        <f t="shared" si="66"/>
        <v>5477.88</v>
      </c>
      <c r="CP31" s="85">
        <f t="shared" si="67"/>
        <v>5477.88</v>
      </c>
      <c r="CQ31" s="85">
        <f t="shared" si="68"/>
        <v>4930.0920000000006</v>
      </c>
      <c r="CR31" s="85">
        <f t="shared" si="69"/>
        <v>6025.6680000000006</v>
      </c>
      <c r="CS31" s="295">
        <f t="shared" si="70"/>
        <v>5477.8779378546042</v>
      </c>
      <c r="CT31" s="295">
        <f t="shared" si="71"/>
        <v>5477.8779378546042</v>
      </c>
      <c r="CU31" s="303"/>
      <c r="CV31" s="303"/>
    </row>
    <row r="32" spans="1:100" s="153" customFormat="1" ht="15" customHeight="1" x14ac:dyDescent="0.3">
      <c r="A32" s="174">
        <v>60065</v>
      </c>
      <c r="B32" s="176" t="s">
        <v>270</v>
      </c>
      <c r="C32" s="175">
        <f>VLOOKUP($A32,'Fed Bs Rt+IME+GME+VBP+RAA+HAC'!$B$5:$AC$88,15,FALSE)</f>
        <v>6521.7222690000008</v>
      </c>
      <c r="D32" s="175">
        <f>VLOOKUP($A32,'Fed Bs Rt+IME+GME+VBP+RAA+HAC'!$B$5:$AC$88,21,FALSE)</f>
        <v>22.59740563746</v>
      </c>
      <c r="E32" s="175">
        <f>VLOOKUP($A32,'Fed Bs Rt+IME+GME+VBP+RAA+HAC'!$B$5:$AC$88,25,FALSE)</f>
        <v>-3.0274253039997348</v>
      </c>
      <c r="F32" s="175">
        <f>VLOOKUP($A32,'Fed Bs Rt+IME+GME+VBP+RAA+HAC'!$B$5:$AC$88,23,FALSE)</f>
        <v>14.83438398960061</v>
      </c>
      <c r="G32" s="175">
        <f>VLOOKUP($A32,'Fed Bs Rt+IME+GME+VBP+RAA+HAC'!$B$5:$AC$88,28,FALSE)</f>
        <v>0</v>
      </c>
      <c r="H32" s="175">
        <f t="shared" si="35"/>
        <v>34.404364323060875</v>
      </c>
      <c r="I32" s="175">
        <f>VLOOKUP($A32,'Fed Bs Rt+IME+GME+VBP+RAA+HAC'!$B$5:$AC$88,16,FALSE)</f>
        <v>0.93163878724516458</v>
      </c>
      <c r="J32" s="175">
        <f t="shared" si="36"/>
        <v>0</v>
      </c>
      <c r="K32" s="175">
        <f t="shared" si="0"/>
        <v>0</v>
      </c>
      <c r="L32" s="294">
        <f>IF(OR(J32&gt;0,K32&gt;0,M32&gt;0),0,IF(VLOOKUP(A32,'Low Discharge'!A:C,3,FALSE)&lt;=L$3,L$1*C32,IF(VLOOKUP(A32,'Low Discharge'!A:C,3,FALSE)&gt;=L$2,0,(VLOOKUP(A32,'Low Discharge'!A:C,3,FALSE)-L$2)/(L$3-L$2)*L$1*C32)))</f>
        <v>0</v>
      </c>
      <c r="M32" s="170">
        <f>IF(VLOOKUP($A32,Characteristics!$A:$E,3,FALSE)=2,M$1*C32,0)</f>
        <v>0</v>
      </c>
      <c r="N32" s="170">
        <f>IF(VLOOKUP($A32,Characteristics!$A:$E,5,FALSE)&gt;=N$2,N$1*C32,IF(VLOOKUP($A32,Characteristics!$A:$E,5,FALSE)&lt;=N$3,0,(VLOOKUP($A32,Characteristics!$A:$E,5,FALSE)-N$3)/(N$2-N$3)*N$1*C32))</f>
        <v>219.06115488788711</v>
      </c>
      <c r="O32" s="170">
        <f>IF(VLOOKUP($A32,Characteristics!$A:$F,6,FALSE)&lt;=O$3,O$1*C32,IF(VLOOKUP($A32,Characteristics!$A:$F,6,FALSE)&gt;=O$2,0,(VLOOKUP($A32,Characteristics!$A:$F,6,FALSE)-O$2)/(O$3-O$2)*O$1*C32))</f>
        <v>0</v>
      </c>
      <c r="P32" s="175">
        <f t="shared" si="1"/>
        <v>6776.1194269981934</v>
      </c>
      <c r="Q32" s="175"/>
      <c r="R32" s="85">
        <v>5303</v>
      </c>
      <c r="S32" s="86">
        <f t="shared" si="37"/>
        <v>5435.5749999999998</v>
      </c>
      <c r="T32" s="85">
        <f t="shared" si="2"/>
        <v>18839092.123019625</v>
      </c>
      <c r="U32" s="88">
        <v>2535.0569999999998</v>
      </c>
      <c r="V32" s="89">
        <v>1.367183311546841</v>
      </c>
      <c r="W32" s="90">
        <f t="shared" si="3"/>
        <v>23485268.462269757</v>
      </c>
      <c r="X32" s="98" t="s">
        <v>5</v>
      </c>
      <c r="Y32" s="85">
        <f t="shared" si="38"/>
        <v>5435.5749999999998</v>
      </c>
      <c r="Z32" s="85">
        <f t="shared" si="39"/>
        <v>4892.0174999999999</v>
      </c>
      <c r="AA32" s="85">
        <f t="shared" si="40"/>
        <v>5979.1325000000006</v>
      </c>
      <c r="AB32" s="230"/>
      <c r="AC32" s="101"/>
      <c r="AD32" s="85">
        <f t="shared" si="41"/>
        <v>5649.4793340581846</v>
      </c>
      <c r="AE32" s="85">
        <f t="shared" si="4"/>
        <v>19580460.507198907</v>
      </c>
      <c r="AF32" s="92">
        <f t="shared" si="42"/>
        <v>0</v>
      </c>
      <c r="AG32" s="92">
        <f t="shared" si="43"/>
        <v>0</v>
      </c>
      <c r="AH32" s="85">
        <f t="shared" si="44"/>
        <v>5649.4793340581846</v>
      </c>
      <c r="AI32" s="85">
        <f t="shared" si="5"/>
        <v>19580460.507198907</v>
      </c>
      <c r="AJ32" s="93">
        <f t="shared" si="6"/>
        <v>23485268.462269757</v>
      </c>
      <c r="AK32" s="93">
        <f t="shared" si="7"/>
        <v>18839092.123019625</v>
      </c>
      <c r="AL32" s="94">
        <f t="shared" si="45"/>
        <v>0</v>
      </c>
      <c r="AM32" s="95"/>
      <c r="AN32" s="85">
        <f t="shared" si="46"/>
        <v>5632.192413290486</v>
      </c>
      <c r="AO32" s="85">
        <f t="shared" si="8"/>
        <v>19520545.982449271</v>
      </c>
      <c r="AP32" s="92">
        <f t="shared" si="47"/>
        <v>0</v>
      </c>
      <c r="AQ32" s="92">
        <f t="shared" si="48"/>
        <v>0</v>
      </c>
      <c r="AR32" s="85">
        <f t="shared" si="49"/>
        <v>5632.192413290486</v>
      </c>
      <c r="AS32" s="85">
        <f t="shared" si="9"/>
        <v>19520545.982449271</v>
      </c>
      <c r="AT32" s="93">
        <f t="shared" si="10"/>
        <v>23485268.462269757</v>
      </c>
      <c r="AU32" s="93">
        <f t="shared" si="11"/>
        <v>18839092.123019625</v>
      </c>
      <c r="AV32" s="94">
        <f t="shared" si="12"/>
        <v>0</v>
      </c>
      <c r="AW32" s="92">
        <f t="shared" si="13"/>
        <v>0</v>
      </c>
      <c r="AX32" s="95"/>
      <c r="AY32" s="85">
        <f t="shared" si="50"/>
        <v>5642.088515036321</v>
      </c>
      <c r="AZ32" s="85">
        <f t="shared" si="14"/>
        <v>19554844.759018183</v>
      </c>
      <c r="BA32" s="92">
        <f t="shared" si="51"/>
        <v>0</v>
      </c>
      <c r="BB32" s="92">
        <f t="shared" si="52"/>
        <v>0</v>
      </c>
      <c r="BC32" s="85">
        <f t="shared" si="53"/>
        <v>5642.088515036321</v>
      </c>
      <c r="BD32" s="85">
        <f t="shared" si="15"/>
        <v>19554844.759018183</v>
      </c>
      <c r="BE32" s="96">
        <f t="shared" si="16"/>
        <v>23485268.462269757</v>
      </c>
      <c r="BF32" s="96">
        <f t="shared" si="17"/>
        <v>18839092.123019625</v>
      </c>
      <c r="BG32" s="94">
        <f t="shared" si="18"/>
        <v>0</v>
      </c>
      <c r="BH32" s="92">
        <f t="shared" si="19"/>
        <v>0</v>
      </c>
      <c r="BI32" s="95"/>
      <c r="BJ32" s="85">
        <f t="shared" si="54"/>
        <v>5642.088515036321</v>
      </c>
      <c r="BK32" s="85">
        <f t="shared" si="20"/>
        <v>19554844.759018183</v>
      </c>
      <c r="BL32" s="92">
        <f t="shared" si="55"/>
        <v>0</v>
      </c>
      <c r="BM32" s="92">
        <f t="shared" si="56"/>
        <v>0</v>
      </c>
      <c r="BN32" s="85">
        <f t="shared" si="57"/>
        <v>5642.088515036321</v>
      </c>
      <c r="BO32" s="85">
        <f t="shared" si="21"/>
        <v>19554844.759018183</v>
      </c>
      <c r="BP32" s="93">
        <f t="shared" si="22"/>
        <v>23485268.462269757</v>
      </c>
      <c r="BQ32" s="93">
        <f t="shared" si="23"/>
        <v>18839092.123019625</v>
      </c>
      <c r="BR32" s="94">
        <f t="shared" si="24"/>
        <v>0</v>
      </c>
      <c r="BS32" s="92">
        <f t="shared" si="25"/>
        <v>0</v>
      </c>
      <c r="BT32" s="95"/>
      <c r="BU32" s="85">
        <f t="shared" si="58"/>
        <v>5642.088515036321</v>
      </c>
      <c r="BV32" s="85">
        <f t="shared" si="26"/>
        <v>19554844.759018183</v>
      </c>
      <c r="BW32" s="92">
        <f t="shared" si="59"/>
        <v>0</v>
      </c>
      <c r="BX32" s="92">
        <f t="shared" si="60"/>
        <v>0</v>
      </c>
      <c r="BY32" s="85">
        <f t="shared" si="61"/>
        <v>5642.088515036321</v>
      </c>
      <c r="BZ32" s="85">
        <f t="shared" si="27"/>
        <v>19554844.759018183</v>
      </c>
      <c r="CA32" s="96">
        <f t="shared" si="28"/>
        <v>23485268.462269757</v>
      </c>
      <c r="CB32" s="96">
        <f t="shared" si="29"/>
        <v>18839092.123019625</v>
      </c>
      <c r="CC32" s="94">
        <f t="shared" si="30"/>
        <v>0</v>
      </c>
      <c r="CD32" s="92">
        <f t="shared" si="31"/>
        <v>0</v>
      </c>
      <c r="CE32" s="66"/>
      <c r="CF32" s="85">
        <f t="shared" si="62"/>
        <v>5642.088515036321</v>
      </c>
      <c r="CG32" s="85">
        <f t="shared" si="32"/>
        <v>19554844.759018183</v>
      </c>
      <c r="CH32" s="92">
        <f t="shared" si="63"/>
        <v>0</v>
      </c>
      <c r="CI32" s="92">
        <f t="shared" si="64"/>
        <v>0</v>
      </c>
      <c r="CJ32" s="85">
        <f t="shared" si="65"/>
        <v>5642.088515036321</v>
      </c>
      <c r="CK32" s="85">
        <f t="shared" si="33"/>
        <v>19554844.759018183</v>
      </c>
      <c r="CL32" s="97">
        <f t="shared" si="34"/>
        <v>1.037992947394953</v>
      </c>
      <c r="CM32" s="261"/>
      <c r="CN32" s="295">
        <f t="shared" si="66"/>
        <v>5754.93</v>
      </c>
      <c r="CP32" s="85">
        <f t="shared" si="67"/>
        <v>5754.93</v>
      </c>
      <c r="CQ32" s="85">
        <f t="shared" si="68"/>
        <v>5179.4370000000008</v>
      </c>
      <c r="CR32" s="85">
        <f t="shared" si="69"/>
        <v>6330.4230000000007</v>
      </c>
      <c r="CS32" s="295">
        <f t="shared" si="70"/>
        <v>5754.9302853370473</v>
      </c>
      <c r="CT32" s="295">
        <f t="shared" si="71"/>
        <v>5754.9302853370473</v>
      </c>
      <c r="CU32" s="303"/>
      <c r="CV32" s="303"/>
    </row>
    <row r="33" spans="1:100" s="153" customFormat="1" ht="15" customHeight="1" x14ac:dyDescent="0.3">
      <c r="A33" s="174">
        <v>60071</v>
      </c>
      <c r="B33" s="176" t="s">
        <v>272</v>
      </c>
      <c r="C33" s="175">
        <f>VLOOKUP($A33,'Fed Bs Rt+IME+GME+VBP+RAA+HAC'!$B$5:$AC$88,15,FALSE)</f>
        <v>6521.7222690000008</v>
      </c>
      <c r="D33" s="175">
        <f>VLOOKUP($A33,'Fed Bs Rt+IME+GME+VBP+RAA+HAC'!$B$5:$AC$88,21,FALSE)</f>
        <v>0</v>
      </c>
      <c r="E33" s="175">
        <f>VLOOKUP($A33,'Fed Bs Rt+IME+GME+VBP+RAA+HAC'!$B$5:$AC$88,25,FALSE)</f>
        <v>0</v>
      </c>
      <c r="F33" s="175">
        <f>VLOOKUP($A33,'Fed Bs Rt+IME+GME+VBP+RAA+HAC'!$B$5:$AC$88,23,FALSE)</f>
        <v>59.51918147664037</v>
      </c>
      <c r="G33" s="175">
        <f>VLOOKUP($A33,'Fed Bs Rt+IME+GME+VBP+RAA+HAC'!$B$5:$AC$88,28,FALSE)</f>
        <v>-65.217222690000014</v>
      </c>
      <c r="H33" s="175">
        <f t="shared" si="35"/>
        <v>-5.6980412133596445</v>
      </c>
      <c r="I33" s="175">
        <f>VLOOKUP($A33,'Fed Bs Rt+IME+GME+VBP+RAA+HAC'!$B$5:$AC$88,16,FALSE)</f>
        <v>0</v>
      </c>
      <c r="J33" s="175">
        <f t="shared" si="36"/>
        <v>0</v>
      </c>
      <c r="K33" s="175">
        <f t="shared" si="0"/>
        <v>1304.3444538000003</v>
      </c>
      <c r="L33" s="294">
        <f>IF(OR(J33&gt;0,K33&gt;0,M33&gt;0),0,IF(VLOOKUP(A33,'Low Discharge'!A:C,3,FALSE)&lt;=L$3,L$1*C33,IF(VLOOKUP(A33,'Low Discharge'!A:C,3,FALSE)&gt;=L$2,0,(VLOOKUP(A33,'Low Discharge'!A:C,3,FALSE)-L$2)/(L$3-L$2)*L$1*C33)))</f>
        <v>0</v>
      </c>
      <c r="M33" s="170">
        <f>IF(VLOOKUP($A33,Characteristics!$A:$E,3,FALSE)=2,M$1*C33,0)</f>
        <v>0</v>
      </c>
      <c r="N33" s="170">
        <f>IF(VLOOKUP($A33,Characteristics!$A:$E,5,FALSE)&gt;=N$2,N$1*C33,IF(VLOOKUP($A33,Characteristics!$A:$E,5,FALSE)&lt;=N$3,0,(VLOOKUP($A33,Characteristics!$A:$E,5,FALSE)-N$3)/(N$2-N$3)*N$1*C33))</f>
        <v>0</v>
      </c>
      <c r="O33" s="170">
        <f>IF(VLOOKUP($A33,Characteristics!$A:$F,6,FALSE)&lt;=O$3,O$1*C33,IF(VLOOKUP($A33,Characteristics!$A:$F,6,FALSE)&gt;=O$2,0,(VLOOKUP($A33,Characteristics!$A:$F,6,FALSE)-O$2)/(O$3-O$2)*O$1*C33))</f>
        <v>1304.3444538000003</v>
      </c>
      <c r="P33" s="175">
        <f t="shared" si="1"/>
        <v>9124.7131353866425</v>
      </c>
      <c r="Q33" s="175"/>
      <c r="R33" s="85">
        <v>6205.76</v>
      </c>
      <c r="S33" s="86">
        <f t="shared" si="37"/>
        <v>6360.9039999999995</v>
      </c>
      <c r="T33" s="85">
        <f t="shared" si="2"/>
        <v>1972528.2207106291</v>
      </c>
      <c r="U33" s="88">
        <v>302.66039999999998</v>
      </c>
      <c r="V33" s="89">
        <v>1.0245868613138687</v>
      </c>
      <c r="W33" s="90">
        <f t="shared" si="3"/>
        <v>2829590.5999271674</v>
      </c>
      <c r="X33" s="98" t="s">
        <v>5</v>
      </c>
      <c r="Y33" s="85">
        <f t="shared" si="38"/>
        <v>6360.9039999999995</v>
      </c>
      <c r="Z33" s="85">
        <f t="shared" si="39"/>
        <v>5724.8135999999995</v>
      </c>
      <c r="AA33" s="85">
        <f t="shared" si="40"/>
        <v>6996.9944000000005</v>
      </c>
      <c r="AB33" s="230"/>
      <c r="AC33" s="101"/>
      <c r="AD33" s="85">
        <f t="shared" si="41"/>
        <v>7607.5811300174482</v>
      </c>
      <c r="AE33" s="85">
        <f t="shared" si="4"/>
        <v>2359125.1291176653</v>
      </c>
      <c r="AF33" s="92">
        <f t="shared" si="42"/>
        <v>0</v>
      </c>
      <c r="AG33" s="92">
        <f t="shared" si="43"/>
        <v>1</v>
      </c>
      <c r="AH33" s="85">
        <f t="shared" si="44"/>
        <v>6996.9944000000005</v>
      </c>
      <c r="AI33" s="85">
        <f t="shared" si="5"/>
        <v>2169781.0427816925</v>
      </c>
      <c r="AJ33" s="93">
        <f t="shared" si="6"/>
        <v>2829590.5999271674</v>
      </c>
      <c r="AK33" s="93">
        <f t="shared" si="7"/>
        <v>1972528.2207106291</v>
      </c>
      <c r="AL33" s="94">
        <f t="shared" si="45"/>
        <v>0</v>
      </c>
      <c r="AM33" s="95"/>
      <c r="AN33" s="85">
        <f t="shared" si="46"/>
        <v>7584.3025861991491</v>
      </c>
      <c r="AO33" s="85">
        <f t="shared" si="8"/>
        <v>2351906.4091654941</v>
      </c>
      <c r="AP33" s="92">
        <f t="shared" si="47"/>
        <v>0</v>
      </c>
      <c r="AQ33" s="92">
        <f t="shared" si="48"/>
        <v>1</v>
      </c>
      <c r="AR33" s="85">
        <f t="shared" si="49"/>
        <v>6996.9944000000005</v>
      </c>
      <c r="AS33" s="85">
        <f t="shared" si="9"/>
        <v>2169781.0427816925</v>
      </c>
      <c r="AT33" s="93">
        <f t="shared" si="10"/>
        <v>0</v>
      </c>
      <c r="AU33" s="93">
        <f t="shared" si="11"/>
        <v>-197252.82207106333</v>
      </c>
      <c r="AV33" s="94">
        <f t="shared" si="12"/>
        <v>1</v>
      </c>
      <c r="AW33" s="92">
        <f t="shared" si="13"/>
        <v>1</v>
      </c>
      <c r="AX33" s="95"/>
      <c r="AY33" s="85">
        <f t="shared" si="50"/>
        <v>6996.9944000000005</v>
      </c>
      <c r="AZ33" s="85">
        <f t="shared" si="14"/>
        <v>2169781.0427816925</v>
      </c>
      <c r="BA33" s="92">
        <f t="shared" si="51"/>
        <v>0</v>
      </c>
      <c r="BB33" s="92">
        <f t="shared" si="52"/>
        <v>1</v>
      </c>
      <c r="BC33" s="85">
        <f t="shared" si="53"/>
        <v>6996.9944000000005</v>
      </c>
      <c r="BD33" s="85">
        <f t="shared" si="15"/>
        <v>2169781.0427816925</v>
      </c>
      <c r="BE33" s="96">
        <f t="shared" si="16"/>
        <v>0</v>
      </c>
      <c r="BF33" s="96">
        <f t="shared" si="17"/>
        <v>-197252.82207106333</v>
      </c>
      <c r="BG33" s="94">
        <f t="shared" si="18"/>
        <v>1</v>
      </c>
      <c r="BH33" s="92">
        <f t="shared" si="19"/>
        <v>0</v>
      </c>
      <c r="BI33" s="95"/>
      <c r="BJ33" s="85">
        <f t="shared" si="54"/>
        <v>6996.9944000000005</v>
      </c>
      <c r="BK33" s="85">
        <f t="shared" si="20"/>
        <v>2169781.0427816925</v>
      </c>
      <c r="BL33" s="92">
        <f t="shared" si="55"/>
        <v>0</v>
      </c>
      <c r="BM33" s="92">
        <f t="shared" si="56"/>
        <v>1</v>
      </c>
      <c r="BN33" s="85">
        <f t="shared" si="57"/>
        <v>6996.9944000000005</v>
      </c>
      <c r="BO33" s="85">
        <f t="shared" si="21"/>
        <v>2169781.0427816925</v>
      </c>
      <c r="BP33" s="93">
        <f t="shared" si="22"/>
        <v>0</v>
      </c>
      <c r="BQ33" s="93">
        <f t="shared" si="23"/>
        <v>-197252.82207106333</v>
      </c>
      <c r="BR33" s="94">
        <f t="shared" si="24"/>
        <v>1</v>
      </c>
      <c r="BS33" s="92">
        <f t="shared" si="25"/>
        <v>0</v>
      </c>
      <c r="BT33" s="95"/>
      <c r="BU33" s="85">
        <f t="shared" si="58"/>
        <v>6996.9944000000005</v>
      </c>
      <c r="BV33" s="85">
        <f t="shared" si="26"/>
        <v>2169781.0427816925</v>
      </c>
      <c r="BW33" s="92">
        <f t="shared" si="59"/>
        <v>0</v>
      </c>
      <c r="BX33" s="92">
        <f t="shared" si="60"/>
        <v>1</v>
      </c>
      <c r="BY33" s="85">
        <f t="shared" si="61"/>
        <v>6996.9944000000005</v>
      </c>
      <c r="BZ33" s="85">
        <f t="shared" si="27"/>
        <v>2169781.0427816925</v>
      </c>
      <c r="CA33" s="96">
        <f t="shared" si="28"/>
        <v>0</v>
      </c>
      <c r="CB33" s="96">
        <f t="shared" si="29"/>
        <v>-197252.82207106333</v>
      </c>
      <c r="CC33" s="94">
        <f t="shared" si="30"/>
        <v>1</v>
      </c>
      <c r="CD33" s="92">
        <f t="shared" si="31"/>
        <v>0</v>
      </c>
      <c r="CE33" s="66"/>
      <c r="CF33" s="85">
        <f t="shared" si="62"/>
        <v>7597.6286632499114</v>
      </c>
      <c r="CG33" s="85">
        <f t="shared" si="32"/>
        <v>2356038.8505691052</v>
      </c>
      <c r="CH33" s="92">
        <f t="shared" si="63"/>
        <v>0</v>
      </c>
      <c r="CI33" s="92">
        <f t="shared" si="64"/>
        <v>1</v>
      </c>
      <c r="CJ33" s="85">
        <f t="shared" si="65"/>
        <v>6996.9944000000005</v>
      </c>
      <c r="CK33" s="85">
        <f t="shared" si="33"/>
        <v>2169781.0427816925</v>
      </c>
      <c r="CL33" s="97">
        <f t="shared" si="34"/>
        <v>1.1000000000000001</v>
      </c>
      <c r="CM33" s="261"/>
      <c r="CN33" s="295">
        <f t="shared" si="66"/>
        <v>7136.93</v>
      </c>
      <c r="CP33" s="85">
        <f t="shared" si="67"/>
        <v>7136.93</v>
      </c>
      <c r="CQ33" s="85">
        <f t="shared" si="68"/>
        <v>6423.2370000000001</v>
      </c>
      <c r="CR33" s="85">
        <f t="shared" si="69"/>
        <v>7850.6230000000005</v>
      </c>
      <c r="CS33" s="295">
        <f t="shared" si="70"/>
        <v>7749.5812365149095</v>
      </c>
      <c r="CT33" s="295">
        <f t="shared" si="71"/>
        <v>7749.5812365149095</v>
      </c>
      <c r="CU33" s="303"/>
      <c r="CV33" s="303"/>
    </row>
    <row r="34" spans="1:100" s="153" customFormat="1" ht="15" customHeight="1" x14ac:dyDescent="0.3">
      <c r="A34" s="174">
        <v>60075</v>
      </c>
      <c r="B34" s="176" t="s">
        <v>271</v>
      </c>
      <c r="C34" s="175">
        <f>VLOOKUP($A34,'Fed Bs Rt+IME+GME+VBP+RAA+HAC'!$B$5:$AC$88,15,FALSE)</f>
        <v>6521.7222690000008</v>
      </c>
      <c r="D34" s="175">
        <f>VLOOKUP($A34,'Fed Bs Rt+IME+GME+VBP+RAA+HAC'!$B$5:$AC$88,21,FALSE)</f>
        <v>0</v>
      </c>
      <c r="E34" s="175">
        <f>VLOOKUP($A34,'Fed Bs Rt+IME+GME+VBP+RAA+HAC'!$B$5:$AC$88,25,FALSE)</f>
        <v>-0.60548506079976505</v>
      </c>
      <c r="F34" s="175">
        <f>VLOOKUP($A34,'Fed Bs Rt+IME+GME+VBP+RAA+HAC'!$B$5:$AC$88,23,FALSE)</f>
        <v>-6.4786901505600936</v>
      </c>
      <c r="G34" s="175">
        <f>VLOOKUP($A34,'Fed Bs Rt+IME+GME+VBP+RAA+HAC'!$B$5:$AC$88,28,FALSE)</f>
        <v>0</v>
      </c>
      <c r="H34" s="175">
        <f t="shared" si="35"/>
        <v>-7.0841752113598586</v>
      </c>
      <c r="I34" s="175">
        <f>VLOOKUP($A34,'Fed Bs Rt+IME+GME+VBP+RAA+HAC'!$B$5:$AC$88,16,FALSE)</f>
        <v>0</v>
      </c>
      <c r="J34" s="175">
        <f t="shared" si="36"/>
        <v>0</v>
      </c>
      <c r="K34" s="175">
        <f t="shared" si="0"/>
        <v>1304.3444538000003</v>
      </c>
      <c r="L34" s="294">
        <f>IF(OR(J34&gt;0,K34&gt;0,M34&gt;0),0,IF(VLOOKUP(A34,'Low Discharge'!A:C,3,FALSE)&lt;=L$3,L$1*C34,IF(VLOOKUP(A34,'Low Discharge'!A:C,3,FALSE)&gt;=L$2,0,(VLOOKUP(A34,'Low Discharge'!A:C,3,FALSE)-L$2)/(L$3-L$2)*L$1*C34)))</f>
        <v>0</v>
      </c>
      <c r="M34" s="170">
        <f>IF(VLOOKUP($A34,Characteristics!$A:$E,3,FALSE)=2,M$1*C34,0)</f>
        <v>0</v>
      </c>
      <c r="N34" s="170">
        <f>IF(VLOOKUP($A34,Characteristics!$A:$E,5,FALSE)&gt;=N$2,N$1*C34,IF(VLOOKUP($A34,Characteristics!$A:$E,5,FALSE)&lt;=N$3,0,(VLOOKUP($A34,Characteristics!$A:$E,5,FALSE)-N$3)/(N$2-N$3)*N$1*C34))</f>
        <v>186.48904788955025</v>
      </c>
      <c r="O34" s="170">
        <f>IF(VLOOKUP($A34,Characteristics!$A:$F,6,FALSE)&lt;=O$3,O$1*C34,IF(VLOOKUP($A34,Characteristics!$A:$F,6,FALSE)&gt;=O$2,0,(VLOOKUP($A34,Characteristics!$A:$F,6,FALSE)-O$2)/(O$3-O$2)*O$1*C34))</f>
        <v>0</v>
      </c>
      <c r="P34" s="175">
        <f t="shared" si="1"/>
        <v>8005.4715954781914</v>
      </c>
      <c r="Q34" s="175"/>
      <c r="R34" s="85">
        <v>5756.22</v>
      </c>
      <c r="S34" s="86">
        <f t="shared" si="37"/>
        <v>5900.1255000000001</v>
      </c>
      <c r="T34" s="85">
        <f t="shared" si="2"/>
        <v>2197824.4783958294</v>
      </c>
      <c r="U34" s="88">
        <v>365.62259999999998</v>
      </c>
      <c r="V34" s="89">
        <v>1.0188229607250754</v>
      </c>
      <c r="W34" s="90">
        <f t="shared" si="3"/>
        <v>2982075.7937512486</v>
      </c>
      <c r="X34" s="98" t="s">
        <v>5</v>
      </c>
      <c r="Y34" s="85">
        <f t="shared" si="38"/>
        <v>5900.1255000000001</v>
      </c>
      <c r="Z34" s="85">
        <f t="shared" si="39"/>
        <v>5310.1129500000006</v>
      </c>
      <c r="AA34" s="85">
        <f t="shared" si="40"/>
        <v>6490.1380500000005</v>
      </c>
      <c r="AB34" s="230"/>
      <c r="AC34" s="101"/>
      <c r="AD34" s="85">
        <f t="shared" si="41"/>
        <v>6674.4317046488659</v>
      </c>
      <c r="AE34" s="85">
        <f t="shared" si="4"/>
        <v>2486257.178742805</v>
      </c>
      <c r="AF34" s="92">
        <f t="shared" si="42"/>
        <v>0</v>
      </c>
      <c r="AG34" s="92">
        <f t="shared" si="43"/>
        <v>1</v>
      </c>
      <c r="AH34" s="85">
        <f t="shared" si="44"/>
        <v>6490.1380500000005</v>
      </c>
      <c r="AI34" s="85">
        <f t="shared" si="5"/>
        <v>2417606.9262354122</v>
      </c>
      <c r="AJ34" s="93">
        <f t="shared" si="6"/>
        <v>2982075.7937512486</v>
      </c>
      <c r="AK34" s="93">
        <f t="shared" si="7"/>
        <v>2197824.4783958294</v>
      </c>
      <c r="AL34" s="94">
        <f t="shared" si="45"/>
        <v>0</v>
      </c>
      <c r="AM34" s="95"/>
      <c r="AN34" s="85">
        <f t="shared" si="46"/>
        <v>6654.0085177983356</v>
      </c>
      <c r="AO34" s="85">
        <f t="shared" si="8"/>
        <v>2478649.4456552719</v>
      </c>
      <c r="AP34" s="92">
        <f t="shared" si="47"/>
        <v>0</v>
      </c>
      <c r="AQ34" s="92">
        <f t="shared" si="48"/>
        <v>1</v>
      </c>
      <c r="AR34" s="85">
        <f t="shared" si="49"/>
        <v>6490.1380500000005</v>
      </c>
      <c r="AS34" s="85">
        <f t="shared" si="9"/>
        <v>2417606.9262354122</v>
      </c>
      <c r="AT34" s="93">
        <f t="shared" si="10"/>
        <v>0</v>
      </c>
      <c r="AU34" s="93">
        <f t="shared" si="11"/>
        <v>-219782.4478395828</v>
      </c>
      <c r="AV34" s="94">
        <f t="shared" si="12"/>
        <v>1</v>
      </c>
      <c r="AW34" s="92">
        <f t="shared" si="13"/>
        <v>1</v>
      </c>
      <c r="AX34" s="95"/>
      <c r="AY34" s="85">
        <f t="shared" si="50"/>
        <v>6490.1380500000005</v>
      </c>
      <c r="AZ34" s="85">
        <f t="shared" si="14"/>
        <v>2417606.9262354122</v>
      </c>
      <c r="BA34" s="92">
        <f t="shared" si="51"/>
        <v>0</v>
      </c>
      <c r="BB34" s="92">
        <f t="shared" si="52"/>
        <v>1</v>
      </c>
      <c r="BC34" s="85">
        <f t="shared" si="53"/>
        <v>6490.1380500000005</v>
      </c>
      <c r="BD34" s="85">
        <f t="shared" si="15"/>
        <v>2417606.9262354122</v>
      </c>
      <c r="BE34" s="96">
        <f t="shared" si="16"/>
        <v>0</v>
      </c>
      <c r="BF34" s="96">
        <f t="shared" si="17"/>
        <v>-219782.4478395828</v>
      </c>
      <c r="BG34" s="94">
        <f t="shared" si="18"/>
        <v>1</v>
      </c>
      <c r="BH34" s="92">
        <f t="shared" si="19"/>
        <v>0</v>
      </c>
      <c r="BI34" s="95"/>
      <c r="BJ34" s="85">
        <f t="shared" si="54"/>
        <v>6490.1380500000005</v>
      </c>
      <c r="BK34" s="85">
        <f t="shared" si="20"/>
        <v>2417606.9262354122</v>
      </c>
      <c r="BL34" s="92">
        <f t="shared" si="55"/>
        <v>0</v>
      </c>
      <c r="BM34" s="92">
        <f t="shared" si="56"/>
        <v>1</v>
      </c>
      <c r="BN34" s="85">
        <f t="shared" si="57"/>
        <v>6490.1380500000005</v>
      </c>
      <c r="BO34" s="85">
        <f t="shared" si="21"/>
        <v>2417606.9262354122</v>
      </c>
      <c r="BP34" s="93">
        <f t="shared" si="22"/>
        <v>0</v>
      </c>
      <c r="BQ34" s="93">
        <f t="shared" si="23"/>
        <v>-219782.4478395828</v>
      </c>
      <c r="BR34" s="94">
        <f t="shared" si="24"/>
        <v>1</v>
      </c>
      <c r="BS34" s="92">
        <f t="shared" si="25"/>
        <v>0</v>
      </c>
      <c r="BT34" s="95"/>
      <c r="BU34" s="85">
        <f t="shared" si="58"/>
        <v>6490.1380500000005</v>
      </c>
      <c r="BV34" s="85">
        <f t="shared" si="26"/>
        <v>2417606.9262354122</v>
      </c>
      <c r="BW34" s="92">
        <f t="shared" si="59"/>
        <v>0</v>
      </c>
      <c r="BX34" s="92">
        <f t="shared" si="60"/>
        <v>1</v>
      </c>
      <c r="BY34" s="85">
        <f t="shared" si="61"/>
        <v>6490.1380500000005</v>
      </c>
      <c r="BZ34" s="85">
        <f t="shared" si="27"/>
        <v>2417606.9262354122</v>
      </c>
      <c r="CA34" s="96">
        <f t="shared" si="28"/>
        <v>0</v>
      </c>
      <c r="CB34" s="96">
        <f t="shared" si="29"/>
        <v>-219782.4478395828</v>
      </c>
      <c r="CC34" s="94">
        <f t="shared" si="30"/>
        <v>1</v>
      </c>
      <c r="CD34" s="92">
        <f t="shared" si="31"/>
        <v>0</v>
      </c>
      <c r="CE34" s="66"/>
      <c r="CF34" s="85">
        <f t="shared" si="62"/>
        <v>6665.7000120651855</v>
      </c>
      <c r="CG34" s="85">
        <f t="shared" si="32"/>
        <v>2483004.5822178256</v>
      </c>
      <c r="CH34" s="92">
        <f t="shared" si="63"/>
        <v>0</v>
      </c>
      <c r="CI34" s="92">
        <f t="shared" si="64"/>
        <v>1</v>
      </c>
      <c r="CJ34" s="85">
        <f t="shared" si="65"/>
        <v>6490.1380500000005</v>
      </c>
      <c r="CK34" s="85">
        <f t="shared" si="33"/>
        <v>2417606.9262354122</v>
      </c>
      <c r="CL34" s="97">
        <f t="shared" si="34"/>
        <v>1.1000000000000001</v>
      </c>
      <c r="CM34" s="261"/>
      <c r="CN34" s="295">
        <f t="shared" si="66"/>
        <v>6619.94</v>
      </c>
      <c r="CP34" s="85">
        <f t="shared" si="67"/>
        <v>6619.94</v>
      </c>
      <c r="CQ34" s="85">
        <f t="shared" si="68"/>
        <v>5957.9459999999999</v>
      </c>
      <c r="CR34" s="85">
        <f t="shared" si="69"/>
        <v>7281.9340000000002</v>
      </c>
      <c r="CS34" s="295">
        <f t="shared" si="70"/>
        <v>6799.0140123064893</v>
      </c>
      <c r="CT34" s="295">
        <f t="shared" si="71"/>
        <v>6799.0140123064893</v>
      </c>
      <c r="CU34" s="303"/>
      <c r="CV34" s="303"/>
    </row>
    <row r="35" spans="1:100" s="153" customFormat="1" ht="15" customHeight="1" x14ac:dyDescent="0.3">
      <c r="A35" s="174">
        <v>60076</v>
      </c>
      <c r="B35" s="176" t="s">
        <v>271</v>
      </c>
      <c r="C35" s="175">
        <f>VLOOKUP($A35,'Fed Bs Rt+IME+GME+VBP+RAA+HAC'!$B$5:$AC$88,15,FALSE)</f>
        <v>6521.7222690000008</v>
      </c>
      <c r="D35" s="175">
        <f>VLOOKUP($A35,'Fed Bs Rt+IME+GME+VBP+RAA+HAC'!$B$5:$AC$88,21,FALSE)</f>
        <v>0</v>
      </c>
      <c r="E35" s="175">
        <f>VLOOKUP($A35,'Fed Bs Rt+IME+GME+VBP+RAA+HAC'!$B$5:$AC$88,25,FALSE)</f>
        <v>-21.191977127999962</v>
      </c>
      <c r="F35" s="175">
        <f>VLOOKUP($A35,'Fed Bs Rt+IME+GME+VBP+RAA+HAC'!$B$5:$AC$88,23,FALSE)</f>
        <v>-17.498518257119688</v>
      </c>
      <c r="G35" s="175">
        <f>VLOOKUP($A35,'Fed Bs Rt+IME+GME+VBP+RAA+HAC'!$B$5:$AC$88,28,FALSE)</f>
        <v>0</v>
      </c>
      <c r="H35" s="175">
        <f t="shared" si="35"/>
        <v>-38.690495385119647</v>
      </c>
      <c r="I35" s="175">
        <f>VLOOKUP($A35,'Fed Bs Rt+IME+GME+VBP+RAA+HAC'!$B$5:$AC$88,16,FALSE)</f>
        <v>0</v>
      </c>
      <c r="J35" s="175">
        <f t="shared" si="36"/>
        <v>0</v>
      </c>
      <c r="K35" s="175">
        <f t="shared" si="0"/>
        <v>1304.3444538000003</v>
      </c>
      <c r="L35" s="294">
        <f>IF(OR(J35&gt;0,K35&gt;0,M35&gt;0),0,IF(VLOOKUP(A35,'Low Discharge'!A:C,3,FALSE)&lt;=L$3,L$1*C35,IF(VLOOKUP(A35,'Low Discharge'!A:C,3,FALSE)&gt;=L$2,0,(VLOOKUP(A35,'Low Discharge'!A:C,3,FALSE)-L$2)/(L$3-L$2)*L$1*C35)))</f>
        <v>0</v>
      </c>
      <c r="M35" s="170">
        <f>IF(VLOOKUP($A35,Characteristics!$A:$E,3,FALSE)=2,M$1*C35,0)</f>
        <v>0</v>
      </c>
      <c r="N35" s="170">
        <f>IF(VLOOKUP($A35,Characteristics!$A:$E,5,FALSE)&gt;=N$2,N$1*C35,IF(VLOOKUP($A35,Characteristics!$A:$E,5,FALSE)&lt;=N$3,0,(VLOOKUP($A35,Characteristics!$A:$E,5,FALSE)-N$3)/(N$2-N$3)*N$1*C35))</f>
        <v>0</v>
      </c>
      <c r="O35" s="170">
        <f>IF(VLOOKUP($A35,Characteristics!$A:$F,6,FALSE)&lt;=O$3,O$1*C35,IF(VLOOKUP($A35,Characteristics!$A:$F,6,FALSE)&gt;=O$2,0,(VLOOKUP($A35,Characteristics!$A:$F,6,FALSE)-O$2)/(O$3-O$2)*O$1*C35))</f>
        <v>0</v>
      </c>
      <c r="P35" s="175">
        <f t="shared" si="1"/>
        <v>7787.3762274148812</v>
      </c>
      <c r="Q35" s="175"/>
      <c r="R35" s="85">
        <v>7227.31</v>
      </c>
      <c r="S35" s="86">
        <f t="shared" si="37"/>
        <v>7407.9927499999994</v>
      </c>
      <c r="T35" s="85">
        <f t="shared" si="2"/>
        <v>1418357.9231155526</v>
      </c>
      <c r="U35" s="88">
        <v>252.95339999999996</v>
      </c>
      <c r="V35" s="89">
        <v>0.75691091703056779</v>
      </c>
      <c r="W35" s="90">
        <f t="shared" si="3"/>
        <v>1490995.8939195236</v>
      </c>
      <c r="X35" s="98" t="s">
        <v>5</v>
      </c>
      <c r="Y35" s="85">
        <f t="shared" si="38"/>
        <v>7407.9927499999994</v>
      </c>
      <c r="Z35" s="85">
        <f t="shared" si="39"/>
        <v>6667.193475</v>
      </c>
      <c r="AA35" s="85">
        <f t="shared" si="40"/>
        <v>8148.7920249999997</v>
      </c>
      <c r="AB35" s="230"/>
      <c r="AC35" s="101"/>
      <c r="AD35" s="85">
        <f t="shared" si="41"/>
        <v>6492.5982396396294</v>
      </c>
      <c r="AE35" s="85">
        <f t="shared" si="4"/>
        <v>1243093.5700900839</v>
      </c>
      <c r="AF35" s="92">
        <f t="shared" si="42"/>
        <v>1</v>
      </c>
      <c r="AG35" s="92">
        <f t="shared" si="43"/>
        <v>0</v>
      </c>
      <c r="AH35" s="85">
        <f t="shared" si="44"/>
        <v>6667.193475</v>
      </c>
      <c r="AI35" s="85">
        <f t="shared" si="5"/>
        <v>1276522.1308039976</v>
      </c>
      <c r="AJ35" s="93">
        <f t="shared" si="6"/>
        <v>0</v>
      </c>
      <c r="AK35" s="93">
        <f t="shared" si="7"/>
        <v>141835.79231155501</v>
      </c>
      <c r="AL35" s="94">
        <f t="shared" si="45"/>
        <v>1</v>
      </c>
      <c r="AM35" s="95"/>
      <c r="AN35" s="85">
        <f t="shared" si="46"/>
        <v>6667.193475</v>
      </c>
      <c r="AO35" s="85">
        <f t="shared" si="8"/>
        <v>1276522.1308039976</v>
      </c>
      <c r="AP35" s="92">
        <f t="shared" si="47"/>
        <v>1</v>
      </c>
      <c r="AQ35" s="92">
        <f t="shared" si="48"/>
        <v>0</v>
      </c>
      <c r="AR35" s="85">
        <f t="shared" si="49"/>
        <v>6667.193475</v>
      </c>
      <c r="AS35" s="85">
        <f t="shared" si="9"/>
        <v>1276522.1308039976</v>
      </c>
      <c r="AT35" s="93">
        <f t="shared" si="10"/>
        <v>0</v>
      </c>
      <c r="AU35" s="93">
        <f t="shared" si="11"/>
        <v>141835.79231155501</v>
      </c>
      <c r="AV35" s="94">
        <f t="shared" si="12"/>
        <v>1</v>
      </c>
      <c r="AW35" s="92">
        <f t="shared" si="13"/>
        <v>0</v>
      </c>
      <c r="AX35" s="95"/>
      <c r="AY35" s="85">
        <f t="shared" si="50"/>
        <v>6667.193475</v>
      </c>
      <c r="AZ35" s="85">
        <f t="shared" si="14"/>
        <v>1276522.1308039976</v>
      </c>
      <c r="BA35" s="92">
        <f t="shared" si="51"/>
        <v>1</v>
      </c>
      <c r="BB35" s="92">
        <f t="shared" si="52"/>
        <v>0</v>
      </c>
      <c r="BC35" s="85">
        <f t="shared" si="53"/>
        <v>6667.193475</v>
      </c>
      <c r="BD35" s="85">
        <f t="shared" si="15"/>
        <v>1276522.1308039976</v>
      </c>
      <c r="BE35" s="96">
        <f t="shared" si="16"/>
        <v>0</v>
      </c>
      <c r="BF35" s="96">
        <f t="shared" si="17"/>
        <v>141835.79231155501</v>
      </c>
      <c r="BG35" s="94">
        <f t="shared" si="18"/>
        <v>1</v>
      </c>
      <c r="BH35" s="92">
        <f t="shared" si="19"/>
        <v>0</v>
      </c>
      <c r="BI35" s="95"/>
      <c r="BJ35" s="85">
        <f t="shared" si="54"/>
        <v>6667.193475</v>
      </c>
      <c r="BK35" s="85">
        <f t="shared" si="20"/>
        <v>1276522.1308039976</v>
      </c>
      <c r="BL35" s="92">
        <f t="shared" si="55"/>
        <v>1</v>
      </c>
      <c r="BM35" s="92">
        <f t="shared" si="56"/>
        <v>0</v>
      </c>
      <c r="BN35" s="85">
        <f t="shared" si="57"/>
        <v>6667.193475</v>
      </c>
      <c r="BO35" s="85">
        <f t="shared" si="21"/>
        <v>1276522.1308039976</v>
      </c>
      <c r="BP35" s="93">
        <f t="shared" si="22"/>
        <v>0</v>
      </c>
      <c r="BQ35" s="93">
        <f t="shared" si="23"/>
        <v>141835.79231155501</v>
      </c>
      <c r="BR35" s="94">
        <f t="shared" si="24"/>
        <v>1</v>
      </c>
      <c r="BS35" s="92">
        <f t="shared" si="25"/>
        <v>0</v>
      </c>
      <c r="BT35" s="95"/>
      <c r="BU35" s="85">
        <f t="shared" si="58"/>
        <v>6667.193475</v>
      </c>
      <c r="BV35" s="85">
        <f t="shared" si="26"/>
        <v>1276522.1308039976</v>
      </c>
      <c r="BW35" s="92">
        <f t="shared" si="59"/>
        <v>1</v>
      </c>
      <c r="BX35" s="92">
        <f t="shared" si="60"/>
        <v>0</v>
      </c>
      <c r="BY35" s="85">
        <f t="shared" si="61"/>
        <v>6667.193475</v>
      </c>
      <c r="BZ35" s="85">
        <f t="shared" si="27"/>
        <v>1276522.1308039976</v>
      </c>
      <c r="CA35" s="96">
        <f t="shared" si="28"/>
        <v>0</v>
      </c>
      <c r="CB35" s="96">
        <f t="shared" si="29"/>
        <v>141835.79231155501</v>
      </c>
      <c r="CC35" s="94">
        <f t="shared" si="30"/>
        <v>1</v>
      </c>
      <c r="CD35" s="92">
        <f t="shared" si="31"/>
        <v>0</v>
      </c>
      <c r="CE35" s="66"/>
      <c r="CF35" s="85">
        <f t="shared" si="62"/>
        <v>6484.1044270715283</v>
      </c>
      <c r="CG35" s="85">
        <f t="shared" si="32"/>
        <v>1241467.3176408729</v>
      </c>
      <c r="CH35" s="92">
        <f t="shared" si="63"/>
        <v>1</v>
      </c>
      <c r="CI35" s="92">
        <f t="shared" si="64"/>
        <v>0</v>
      </c>
      <c r="CJ35" s="85">
        <f t="shared" si="65"/>
        <v>6667.193475</v>
      </c>
      <c r="CK35" s="85">
        <f t="shared" si="33"/>
        <v>1276522.1308039976</v>
      </c>
      <c r="CL35" s="97">
        <f t="shared" si="34"/>
        <v>0.9</v>
      </c>
      <c r="CM35" s="261"/>
      <c r="CN35" s="295">
        <f t="shared" si="66"/>
        <v>6800.54</v>
      </c>
      <c r="CP35" s="85">
        <f t="shared" si="67"/>
        <v>6800.54</v>
      </c>
      <c r="CQ35" s="85">
        <f t="shared" si="68"/>
        <v>6120.4859999999999</v>
      </c>
      <c r="CR35" s="85">
        <f t="shared" si="69"/>
        <v>7480.594000000001</v>
      </c>
      <c r="CS35" s="295">
        <f t="shared" si="70"/>
        <v>6613.7865156129592</v>
      </c>
      <c r="CT35" s="295">
        <f t="shared" si="71"/>
        <v>6613.7865156129592</v>
      </c>
      <c r="CU35" s="303"/>
      <c r="CV35" s="303"/>
    </row>
    <row r="36" spans="1:100" s="153" customFormat="1" ht="15" customHeight="1" x14ac:dyDescent="0.3">
      <c r="A36" s="174">
        <v>60096</v>
      </c>
      <c r="B36" s="176" t="s">
        <v>271</v>
      </c>
      <c r="C36" s="175">
        <f>VLOOKUP($A36,'Fed Bs Rt+IME+GME+VBP+RAA+HAC'!$B$5:$AC$88,15,FALSE)</f>
        <v>6521.7222690000008</v>
      </c>
      <c r="D36" s="175">
        <f>VLOOKUP($A36,'Fed Bs Rt+IME+GME+VBP+RAA+HAC'!$B$5:$AC$88,21,FALSE)</f>
        <v>0</v>
      </c>
      <c r="E36" s="175">
        <f>VLOOKUP($A36,'Fed Bs Rt+IME+GME+VBP+RAA+HAC'!$B$5:$AC$88,25,FALSE)</f>
        <v>-2.4219402431999697</v>
      </c>
      <c r="F36" s="175">
        <f>VLOOKUP($A36,'Fed Bs Rt+IME+GME+VBP+RAA+HAC'!$B$5:$AC$88,23,FALSE)</f>
        <v>128.78667243215932</v>
      </c>
      <c r="G36" s="175">
        <f>VLOOKUP($A36,'Fed Bs Rt+IME+GME+VBP+RAA+HAC'!$B$5:$AC$88,28,FALSE)</f>
        <v>0</v>
      </c>
      <c r="H36" s="175">
        <f t="shared" si="35"/>
        <v>126.36473218895935</v>
      </c>
      <c r="I36" s="175">
        <f>VLOOKUP($A36,'Fed Bs Rt+IME+GME+VBP+RAA+HAC'!$B$5:$AC$88,16,FALSE)</f>
        <v>0</v>
      </c>
      <c r="J36" s="175">
        <f t="shared" si="36"/>
        <v>0</v>
      </c>
      <c r="K36" s="175">
        <f t="shared" si="0"/>
        <v>1304.3444538000003</v>
      </c>
      <c r="L36" s="294">
        <f>IF(OR(J36&gt;0,K36&gt;0,M36&gt;0),0,IF(VLOOKUP(A36,'Low Discharge'!A:C,3,FALSE)&lt;=L$3,L$1*C36,IF(VLOOKUP(A36,'Low Discharge'!A:C,3,FALSE)&gt;=L$2,0,(VLOOKUP(A36,'Low Discharge'!A:C,3,FALSE)-L$2)/(L$3-L$2)*L$1*C36)))</f>
        <v>0</v>
      </c>
      <c r="M36" s="170">
        <f>IF(VLOOKUP($A36,Characteristics!$A:$E,3,FALSE)=2,M$1*C36,0)</f>
        <v>0</v>
      </c>
      <c r="N36" s="170">
        <f>IF(VLOOKUP($A36,Characteristics!$A:$E,5,FALSE)&gt;=N$2,N$1*C36,IF(VLOOKUP($A36,Characteristics!$A:$E,5,FALSE)&lt;=N$3,0,(VLOOKUP($A36,Characteristics!$A:$E,5,FALSE)-N$3)/(N$2-N$3)*N$1*C36))</f>
        <v>0</v>
      </c>
      <c r="O36" s="170">
        <f>IF(VLOOKUP($A36,Characteristics!$A:$F,6,FALSE)&lt;=O$3,O$1*C36,IF(VLOOKUP($A36,Characteristics!$A:$F,6,FALSE)&gt;=O$2,0,(VLOOKUP($A36,Characteristics!$A:$F,6,FALSE)-O$2)/(O$3-O$2)*O$1*C36))</f>
        <v>0</v>
      </c>
      <c r="P36" s="175">
        <f t="shared" si="1"/>
        <v>7952.4314549889605</v>
      </c>
      <c r="Q36" s="175"/>
      <c r="R36" s="85">
        <v>10357.48</v>
      </c>
      <c r="S36" s="86">
        <f t="shared" si="37"/>
        <v>10616.416999999999</v>
      </c>
      <c r="T36" s="85">
        <f t="shared" si="2"/>
        <v>1804542.6911225687</v>
      </c>
      <c r="U36" s="88">
        <v>235.27979999999999</v>
      </c>
      <c r="V36" s="89">
        <v>0.72244460093896712</v>
      </c>
      <c r="W36" s="90">
        <f t="shared" si="3"/>
        <v>1351727.4292026719</v>
      </c>
      <c r="X36" s="98" t="s">
        <v>5</v>
      </c>
      <c r="Y36" s="85">
        <f t="shared" si="38"/>
        <v>10616.416999999999</v>
      </c>
      <c r="Z36" s="85">
        <f t="shared" si="39"/>
        <v>9554.7752999999993</v>
      </c>
      <c r="AA36" s="85">
        <f t="shared" si="40"/>
        <v>11678.0587</v>
      </c>
      <c r="AB36" s="230"/>
      <c r="AC36" s="101"/>
      <c r="AD36" s="85">
        <f t="shared" si="41"/>
        <v>6630.2103504065608</v>
      </c>
      <c r="AE36" s="85">
        <f t="shared" si="4"/>
        <v>1126980.7533399793</v>
      </c>
      <c r="AF36" s="92">
        <f t="shared" si="42"/>
        <v>1</v>
      </c>
      <c r="AG36" s="92">
        <f t="shared" si="43"/>
        <v>0</v>
      </c>
      <c r="AH36" s="85">
        <f t="shared" si="44"/>
        <v>9554.7752999999993</v>
      </c>
      <c r="AI36" s="85">
        <f t="shared" si="5"/>
        <v>1624088.4220103116</v>
      </c>
      <c r="AJ36" s="93">
        <f t="shared" si="6"/>
        <v>0</v>
      </c>
      <c r="AK36" s="93">
        <f t="shared" si="7"/>
        <v>180454.26911225705</v>
      </c>
      <c r="AL36" s="94">
        <f t="shared" si="45"/>
        <v>1</v>
      </c>
      <c r="AM36" s="95"/>
      <c r="AN36" s="85">
        <f t="shared" si="46"/>
        <v>9554.7752999999993</v>
      </c>
      <c r="AO36" s="85">
        <f t="shared" si="8"/>
        <v>1624088.4220103116</v>
      </c>
      <c r="AP36" s="92">
        <f t="shared" si="47"/>
        <v>1</v>
      </c>
      <c r="AQ36" s="92">
        <f t="shared" si="48"/>
        <v>0</v>
      </c>
      <c r="AR36" s="85">
        <f t="shared" si="49"/>
        <v>9554.7752999999993</v>
      </c>
      <c r="AS36" s="85">
        <f t="shared" si="9"/>
        <v>1624088.4220103116</v>
      </c>
      <c r="AT36" s="93">
        <f t="shared" si="10"/>
        <v>0</v>
      </c>
      <c r="AU36" s="93">
        <f t="shared" si="11"/>
        <v>180454.26911225705</v>
      </c>
      <c r="AV36" s="94">
        <f t="shared" si="12"/>
        <v>1</v>
      </c>
      <c r="AW36" s="92">
        <f t="shared" si="13"/>
        <v>0</v>
      </c>
      <c r="AX36" s="95"/>
      <c r="AY36" s="85">
        <f t="shared" si="50"/>
        <v>9554.7752999999993</v>
      </c>
      <c r="AZ36" s="85">
        <f t="shared" si="14"/>
        <v>1624088.4220103116</v>
      </c>
      <c r="BA36" s="92">
        <f t="shared" si="51"/>
        <v>1</v>
      </c>
      <c r="BB36" s="92">
        <f t="shared" si="52"/>
        <v>0</v>
      </c>
      <c r="BC36" s="85">
        <f t="shared" si="53"/>
        <v>9554.7752999999993</v>
      </c>
      <c r="BD36" s="85">
        <f t="shared" si="15"/>
        <v>1624088.4220103116</v>
      </c>
      <c r="BE36" s="96">
        <f t="shared" si="16"/>
        <v>0</v>
      </c>
      <c r="BF36" s="96">
        <f t="shared" si="17"/>
        <v>180454.26911225705</v>
      </c>
      <c r="BG36" s="94">
        <f t="shared" si="18"/>
        <v>1</v>
      </c>
      <c r="BH36" s="92">
        <f t="shared" si="19"/>
        <v>0</v>
      </c>
      <c r="BI36" s="95"/>
      <c r="BJ36" s="85">
        <f t="shared" si="54"/>
        <v>9554.7752999999993</v>
      </c>
      <c r="BK36" s="85">
        <f t="shared" si="20"/>
        <v>1624088.4220103116</v>
      </c>
      <c r="BL36" s="92">
        <f t="shared" si="55"/>
        <v>1</v>
      </c>
      <c r="BM36" s="92">
        <f t="shared" si="56"/>
        <v>0</v>
      </c>
      <c r="BN36" s="85">
        <f t="shared" si="57"/>
        <v>9554.7752999999993</v>
      </c>
      <c r="BO36" s="85">
        <f t="shared" si="21"/>
        <v>1624088.4220103116</v>
      </c>
      <c r="BP36" s="93">
        <f t="shared" si="22"/>
        <v>0</v>
      </c>
      <c r="BQ36" s="93">
        <f t="shared" si="23"/>
        <v>180454.26911225705</v>
      </c>
      <c r="BR36" s="94">
        <f t="shared" si="24"/>
        <v>1</v>
      </c>
      <c r="BS36" s="92">
        <f t="shared" si="25"/>
        <v>0</v>
      </c>
      <c r="BT36" s="95"/>
      <c r="BU36" s="85">
        <f t="shared" si="58"/>
        <v>9554.7752999999993</v>
      </c>
      <c r="BV36" s="85">
        <f t="shared" si="26"/>
        <v>1624088.4220103116</v>
      </c>
      <c r="BW36" s="92">
        <f t="shared" si="59"/>
        <v>1</v>
      </c>
      <c r="BX36" s="92">
        <f t="shared" si="60"/>
        <v>0</v>
      </c>
      <c r="BY36" s="85">
        <f t="shared" si="61"/>
        <v>9554.7752999999993</v>
      </c>
      <c r="BZ36" s="85">
        <f t="shared" si="27"/>
        <v>1624088.4220103116</v>
      </c>
      <c r="CA36" s="96">
        <f t="shared" si="28"/>
        <v>0</v>
      </c>
      <c r="CB36" s="96">
        <f t="shared" si="29"/>
        <v>180454.26911225705</v>
      </c>
      <c r="CC36" s="94">
        <f t="shared" si="30"/>
        <v>1</v>
      </c>
      <c r="CD36" s="92">
        <f t="shared" si="31"/>
        <v>0</v>
      </c>
      <c r="CE36" s="66"/>
      <c r="CF36" s="85">
        <f t="shared" si="62"/>
        <v>6621.5365095304069</v>
      </c>
      <c r="CG36" s="85">
        <f t="shared" si="32"/>
        <v>1125506.4031748509</v>
      </c>
      <c r="CH36" s="92">
        <f t="shared" si="63"/>
        <v>1</v>
      </c>
      <c r="CI36" s="92">
        <f t="shared" si="64"/>
        <v>0</v>
      </c>
      <c r="CJ36" s="85">
        <f t="shared" si="65"/>
        <v>9554.7752999999993</v>
      </c>
      <c r="CK36" s="85">
        <f t="shared" si="33"/>
        <v>1624088.4220103116</v>
      </c>
      <c r="CL36" s="97">
        <f t="shared" si="34"/>
        <v>0.9</v>
      </c>
      <c r="CM36" s="261"/>
      <c r="CN36" s="295">
        <f t="shared" si="66"/>
        <v>9745.8700000000008</v>
      </c>
      <c r="CP36" s="85">
        <f t="shared" si="67"/>
        <v>9745.8700000000008</v>
      </c>
      <c r="CQ36" s="85">
        <f t="shared" si="68"/>
        <v>8771.2830000000013</v>
      </c>
      <c r="CR36" s="85">
        <f t="shared" si="69"/>
        <v>10720.457000000002</v>
      </c>
      <c r="CS36" s="295">
        <f t="shared" si="70"/>
        <v>6753.9672397210152</v>
      </c>
      <c r="CT36" s="295">
        <f t="shared" si="71"/>
        <v>8771.2830000000013</v>
      </c>
      <c r="CU36" s="303"/>
      <c r="CV36" s="303"/>
    </row>
    <row r="37" spans="1:100" s="153" customFormat="1" ht="15" customHeight="1" x14ac:dyDescent="0.3">
      <c r="A37" s="174">
        <v>60100</v>
      </c>
      <c r="B37" s="176" t="s">
        <v>270</v>
      </c>
      <c r="C37" s="175">
        <f>VLOOKUP($A37,'Fed Bs Rt+IME+GME+VBP+RAA+HAC'!$B$5:$AC$88,15,FALSE)</f>
        <v>6521.7222690000008</v>
      </c>
      <c r="D37" s="175">
        <f>VLOOKUP($A37,'Fed Bs Rt+IME+GME+VBP+RAA+HAC'!$B$5:$AC$88,21,FALSE)</f>
        <v>9.0329125657800002</v>
      </c>
      <c r="E37" s="175">
        <f>VLOOKUP($A37,'Fed Bs Rt+IME+GME+VBP+RAA+HAC'!$B$5:$AC$88,25,FALSE)</f>
        <v>-33.907163404800485</v>
      </c>
      <c r="F37" s="175">
        <f>VLOOKUP($A37,'Fed Bs Rt+IME+GME+VBP+RAA+HAC'!$B$5:$AC$88,23,FALSE)</f>
        <v>-15.2582235321598</v>
      </c>
      <c r="G37" s="175">
        <f>VLOOKUP($A37,'Fed Bs Rt+IME+GME+VBP+RAA+HAC'!$B$5:$AC$88,28,FALSE)</f>
        <v>0</v>
      </c>
      <c r="H37" s="175">
        <f t="shared" si="35"/>
        <v>-40.13247437118028</v>
      </c>
      <c r="I37" s="175">
        <f>VLOOKUP($A37,'Fed Bs Rt+IME+GME+VBP+RAA+HAC'!$B$5:$AC$88,16,FALSE)</f>
        <v>0.26124941286989201</v>
      </c>
      <c r="J37" s="175">
        <f t="shared" si="36"/>
        <v>0</v>
      </c>
      <c r="K37" s="175">
        <f t="shared" si="0"/>
        <v>0</v>
      </c>
      <c r="L37" s="294">
        <f>IF(OR(J37&gt;0,K37&gt;0,M37&gt;0),0,IF(VLOOKUP(A37,'Low Discharge'!A:C,3,FALSE)&lt;=L$3,L$1*C37,IF(VLOOKUP(A37,'Low Discharge'!A:C,3,FALSE)&gt;=L$2,0,(VLOOKUP(A37,'Low Discharge'!A:C,3,FALSE)-L$2)/(L$3-L$2)*L$1*C37)))</f>
        <v>0</v>
      </c>
      <c r="M37" s="170">
        <f>IF(VLOOKUP($A37,Characteristics!$A:$E,3,FALSE)=2,M$1*C37,0)</f>
        <v>0</v>
      </c>
      <c r="N37" s="170">
        <f>IF(VLOOKUP($A37,Characteristics!$A:$E,5,FALSE)&gt;=N$2,N$1*C37,IF(VLOOKUP($A37,Characteristics!$A:$E,5,FALSE)&lt;=N$3,0,(VLOOKUP($A37,Characteristics!$A:$E,5,FALSE)-N$3)/(N$2-N$3)*N$1*C37))</f>
        <v>0.69050926919182276</v>
      </c>
      <c r="O37" s="170">
        <f>IF(VLOOKUP($A37,Characteristics!$A:$F,6,FALSE)&lt;=O$3,O$1*C37,IF(VLOOKUP($A37,Characteristics!$A:$F,6,FALSE)&gt;=O$2,0,(VLOOKUP($A37,Characteristics!$A:$F,6,FALSE)-O$2)/(O$3-O$2)*O$1*C37))</f>
        <v>0</v>
      </c>
      <c r="P37" s="175">
        <f t="shared" si="1"/>
        <v>6482.5415533108826</v>
      </c>
      <c r="Q37" s="175"/>
      <c r="R37" s="85">
        <v>5266.19</v>
      </c>
      <c r="S37" s="86">
        <f t="shared" si="37"/>
        <v>5397.8447499999993</v>
      </c>
      <c r="T37" s="85">
        <f t="shared" si="2"/>
        <v>23959440.362943903</v>
      </c>
      <c r="U37" s="88">
        <v>2908.4117999999999</v>
      </c>
      <c r="V37" s="89">
        <v>1.5261611090011393</v>
      </c>
      <c r="W37" s="90">
        <f t="shared" si="3"/>
        <v>28774089.463550769</v>
      </c>
      <c r="X37" s="98" t="s">
        <v>5</v>
      </c>
      <c r="Y37" s="85">
        <f t="shared" si="38"/>
        <v>5397.8447499999993</v>
      </c>
      <c r="Z37" s="85">
        <f t="shared" si="39"/>
        <v>4858.0602749999998</v>
      </c>
      <c r="AA37" s="85">
        <f t="shared" si="40"/>
        <v>5937.6292249999997</v>
      </c>
      <c r="AB37" s="230"/>
      <c r="AC37" s="101"/>
      <c r="AD37" s="85">
        <f t="shared" si="41"/>
        <v>5404.7135579821361</v>
      </c>
      <c r="AE37" s="85">
        <f t="shared" si="4"/>
        <v>23989928.975127961</v>
      </c>
      <c r="AF37" s="92">
        <f t="shared" si="42"/>
        <v>0</v>
      </c>
      <c r="AG37" s="92">
        <f t="shared" si="43"/>
        <v>0</v>
      </c>
      <c r="AH37" s="85">
        <f t="shared" si="44"/>
        <v>5404.7135579821361</v>
      </c>
      <c r="AI37" s="85">
        <f t="shared" si="5"/>
        <v>23989928.975127961</v>
      </c>
      <c r="AJ37" s="93">
        <f t="shared" si="6"/>
        <v>28774089.463550769</v>
      </c>
      <c r="AK37" s="93">
        <f t="shared" si="7"/>
        <v>23959440.362943903</v>
      </c>
      <c r="AL37" s="94">
        <f t="shared" si="45"/>
        <v>0</v>
      </c>
      <c r="AM37" s="95"/>
      <c r="AN37" s="85">
        <f t="shared" si="46"/>
        <v>5388.175599433338</v>
      </c>
      <c r="AO37" s="85">
        <f t="shared" si="8"/>
        <v>23916521.856189471</v>
      </c>
      <c r="AP37" s="92">
        <f t="shared" si="47"/>
        <v>0</v>
      </c>
      <c r="AQ37" s="92">
        <f t="shared" si="48"/>
        <v>0</v>
      </c>
      <c r="AR37" s="85">
        <f t="shared" si="49"/>
        <v>5388.175599433338</v>
      </c>
      <c r="AS37" s="85">
        <f t="shared" si="9"/>
        <v>23916521.856189471</v>
      </c>
      <c r="AT37" s="93">
        <f t="shared" si="10"/>
        <v>28774089.463550769</v>
      </c>
      <c r="AU37" s="93">
        <f t="shared" si="11"/>
        <v>23959440.362943903</v>
      </c>
      <c r="AV37" s="94">
        <f t="shared" si="12"/>
        <v>0</v>
      </c>
      <c r="AW37" s="92">
        <f t="shared" si="13"/>
        <v>0</v>
      </c>
      <c r="AX37" s="95"/>
      <c r="AY37" s="85">
        <f t="shared" si="50"/>
        <v>5397.6429489206521</v>
      </c>
      <c r="AZ37" s="85">
        <f t="shared" si="14"/>
        <v>23958544.627488416</v>
      </c>
      <c r="BA37" s="92">
        <f t="shared" si="51"/>
        <v>0</v>
      </c>
      <c r="BB37" s="92">
        <f t="shared" si="52"/>
        <v>0</v>
      </c>
      <c r="BC37" s="85">
        <f t="shared" si="53"/>
        <v>5397.6429489206521</v>
      </c>
      <c r="BD37" s="85">
        <f t="shared" si="15"/>
        <v>23958544.627488416</v>
      </c>
      <c r="BE37" s="96">
        <f t="shared" si="16"/>
        <v>28774089.463550769</v>
      </c>
      <c r="BF37" s="96">
        <f t="shared" si="17"/>
        <v>23959440.362943903</v>
      </c>
      <c r="BG37" s="94">
        <f t="shared" si="18"/>
        <v>0</v>
      </c>
      <c r="BH37" s="92">
        <f t="shared" si="19"/>
        <v>0</v>
      </c>
      <c r="BI37" s="95"/>
      <c r="BJ37" s="85">
        <f t="shared" si="54"/>
        <v>5397.6429489206521</v>
      </c>
      <c r="BK37" s="85">
        <f t="shared" si="20"/>
        <v>23958544.627488416</v>
      </c>
      <c r="BL37" s="92">
        <f t="shared" si="55"/>
        <v>0</v>
      </c>
      <c r="BM37" s="92">
        <f t="shared" si="56"/>
        <v>0</v>
      </c>
      <c r="BN37" s="85">
        <f t="shared" si="57"/>
        <v>5397.6429489206521</v>
      </c>
      <c r="BO37" s="85">
        <f t="shared" si="21"/>
        <v>23958544.627488416</v>
      </c>
      <c r="BP37" s="93">
        <f t="shared" si="22"/>
        <v>28774089.463550769</v>
      </c>
      <c r="BQ37" s="93">
        <f t="shared" si="23"/>
        <v>23959440.362943903</v>
      </c>
      <c r="BR37" s="94">
        <f t="shared" si="24"/>
        <v>0</v>
      </c>
      <c r="BS37" s="92">
        <f t="shared" si="25"/>
        <v>0</v>
      </c>
      <c r="BT37" s="95"/>
      <c r="BU37" s="85">
        <f t="shared" si="58"/>
        <v>5397.6429489206521</v>
      </c>
      <c r="BV37" s="85">
        <f t="shared" si="26"/>
        <v>23958544.627488416</v>
      </c>
      <c r="BW37" s="92">
        <f t="shared" si="59"/>
        <v>0</v>
      </c>
      <c r="BX37" s="92">
        <f t="shared" si="60"/>
        <v>0</v>
      </c>
      <c r="BY37" s="85">
        <f t="shared" si="61"/>
        <v>5397.6429489206521</v>
      </c>
      <c r="BZ37" s="85">
        <f t="shared" si="27"/>
        <v>23958544.627488416</v>
      </c>
      <c r="CA37" s="96">
        <f t="shared" si="28"/>
        <v>28774089.463550769</v>
      </c>
      <c r="CB37" s="96">
        <f t="shared" si="29"/>
        <v>23959440.362943903</v>
      </c>
      <c r="CC37" s="94">
        <f t="shared" si="30"/>
        <v>0</v>
      </c>
      <c r="CD37" s="92">
        <f t="shared" si="31"/>
        <v>0</v>
      </c>
      <c r="CE37" s="66"/>
      <c r="CF37" s="85">
        <f t="shared" si="62"/>
        <v>5397.6429489206521</v>
      </c>
      <c r="CG37" s="85">
        <f t="shared" si="32"/>
        <v>23958544.627488416</v>
      </c>
      <c r="CH37" s="92">
        <f t="shared" si="63"/>
        <v>0</v>
      </c>
      <c r="CI37" s="92">
        <f t="shared" si="64"/>
        <v>0</v>
      </c>
      <c r="CJ37" s="85">
        <f t="shared" si="65"/>
        <v>5397.6429489206521</v>
      </c>
      <c r="CK37" s="85">
        <f t="shared" si="33"/>
        <v>23958544.627488416</v>
      </c>
      <c r="CL37" s="97">
        <f t="shared" si="34"/>
        <v>0.99996261450843926</v>
      </c>
      <c r="CM37" s="261"/>
      <c r="CN37" s="295">
        <f t="shared" si="66"/>
        <v>5505.6</v>
      </c>
      <c r="CP37" s="85">
        <f t="shared" si="67"/>
        <v>5505.6</v>
      </c>
      <c r="CQ37" s="85">
        <f t="shared" si="68"/>
        <v>4955.0400000000009</v>
      </c>
      <c r="CR37" s="85">
        <f t="shared" si="69"/>
        <v>6056.1600000000008</v>
      </c>
      <c r="CS37" s="295">
        <f t="shared" si="70"/>
        <v>5505.5958078990652</v>
      </c>
      <c r="CT37" s="295">
        <f t="shared" si="71"/>
        <v>5505.5958078990652</v>
      </c>
      <c r="CU37" s="303"/>
      <c r="CV37" s="303"/>
    </row>
    <row r="38" spans="1:100" s="153" customFormat="1" ht="15" customHeight="1" x14ac:dyDescent="0.3">
      <c r="A38" s="174">
        <v>60103</v>
      </c>
      <c r="B38" s="176" t="s">
        <v>270</v>
      </c>
      <c r="C38" s="175">
        <f>VLOOKUP($A38,'Fed Bs Rt+IME+GME+VBP+RAA+HAC'!$B$5:$AC$88,15,FALSE)</f>
        <v>6708.8630929999999</v>
      </c>
      <c r="D38" s="175">
        <f>VLOOKUP($A38,'Fed Bs Rt+IME+GME+VBP+RAA+HAC'!$B$5:$AC$88,21,FALSE)</f>
        <v>0</v>
      </c>
      <c r="E38" s="175">
        <f>VLOOKUP($A38,'Fed Bs Rt+IME+GME+VBP+RAA+HAC'!$B$5:$AC$88,25,FALSE)</f>
        <v>-1.2456005535996155</v>
      </c>
      <c r="F38" s="175">
        <f>VLOOKUP($A38,'Fed Bs Rt+IME+GME+VBP+RAA+HAC'!$B$5:$AC$88,23,FALSE)</f>
        <v>-28.648812732800302</v>
      </c>
      <c r="G38" s="175">
        <f>VLOOKUP($A38,'Fed Bs Rt+IME+GME+VBP+RAA+HAC'!$B$5:$AC$88,28,FALSE)</f>
        <v>-67.088630929999994</v>
      </c>
      <c r="H38" s="175">
        <f t="shared" si="35"/>
        <v>-96.983044216399918</v>
      </c>
      <c r="I38" s="175">
        <f>VLOOKUP($A38,'Fed Bs Rt+IME+GME+VBP+RAA+HAC'!$B$5:$AC$88,16,FALSE)</f>
        <v>0</v>
      </c>
      <c r="J38" s="175">
        <f t="shared" si="36"/>
        <v>0</v>
      </c>
      <c r="K38" s="175">
        <f t="shared" ref="K38:K69" si="72">IF(OR(B38="SCH",B38="MDH"),+C38*K$1,0)</f>
        <v>0</v>
      </c>
      <c r="L38" s="294">
        <f>IF(OR(J38&gt;0,K38&gt;0,M38&gt;0),0,IF(VLOOKUP(A38,'Low Discharge'!A:C,3,FALSE)&lt;=L$3,L$1*C38,IF(VLOOKUP(A38,'Low Discharge'!A:C,3,FALSE)&gt;=L$2,0,(VLOOKUP(A38,'Low Discharge'!A:C,3,FALSE)-L$2)/(L$3-L$2)*L$1*C38)))</f>
        <v>0</v>
      </c>
      <c r="M38" s="170">
        <f>IF(VLOOKUP($A38,Characteristics!$A:$E,3,FALSE)=2,M$1*C38,0)</f>
        <v>0</v>
      </c>
      <c r="N38" s="170">
        <f>IF(VLOOKUP($A38,Characteristics!$A:$E,5,FALSE)&gt;=N$2,N$1*C38,IF(VLOOKUP($A38,Characteristics!$A:$E,5,FALSE)&lt;=N$3,0,(VLOOKUP($A38,Characteristics!$A:$E,5,FALSE)-N$3)/(N$2-N$3)*N$1*C38))</f>
        <v>0</v>
      </c>
      <c r="O38" s="170">
        <f>IF(VLOOKUP($A38,Characteristics!$A:$F,6,FALSE)&lt;=O$3,O$1*C38,IF(VLOOKUP($A38,Characteristics!$A:$F,6,FALSE)&gt;=O$2,0,(VLOOKUP($A38,Characteristics!$A:$F,6,FALSE)-O$2)/(O$3-O$2)*O$1*C38))</f>
        <v>0</v>
      </c>
      <c r="P38" s="175">
        <f t="shared" ref="P38:P69" si="73">SUM(C38,H38:O38)</f>
        <v>6611.8800487835997</v>
      </c>
      <c r="Q38" s="175"/>
      <c r="R38" s="85">
        <v>5591.68</v>
      </c>
      <c r="S38" s="86">
        <f t="shared" si="37"/>
        <v>5731.4719999999998</v>
      </c>
      <c r="T38" s="85">
        <f t="shared" ref="T38:T69" si="74">S38*U38*V38</f>
        <v>4805610.6213438073</v>
      </c>
      <c r="U38" s="88">
        <v>1294.5911999999998</v>
      </c>
      <c r="V38" s="89">
        <v>0.64766399317406143</v>
      </c>
      <c r="W38" s="90">
        <f t="shared" ref="W38:W69" si="75">P38*U38*V38</f>
        <v>5543797.6473558061</v>
      </c>
      <c r="X38" s="98" t="s">
        <v>5</v>
      </c>
      <c r="Y38" s="85">
        <f t="shared" si="38"/>
        <v>5731.4719999999998</v>
      </c>
      <c r="Z38" s="85">
        <f t="shared" si="39"/>
        <v>5158.3248000000003</v>
      </c>
      <c r="AA38" s="85">
        <f t="shared" si="40"/>
        <v>6304.6192000000001</v>
      </c>
      <c r="AB38" s="230"/>
      <c r="AC38" s="101"/>
      <c r="AD38" s="85">
        <f t="shared" si="41"/>
        <v>5512.5474244219704</v>
      </c>
      <c r="AE38" s="85">
        <f t="shared" ref="AE38:AE69" si="76">AD38*$U38*$V38</f>
        <v>4622051.0984723773</v>
      </c>
      <c r="AF38" s="92">
        <f t="shared" si="42"/>
        <v>0</v>
      </c>
      <c r="AG38" s="92">
        <f t="shared" si="43"/>
        <v>0</v>
      </c>
      <c r="AH38" s="85">
        <f t="shared" si="44"/>
        <v>5512.5474244219704</v>
      </c>
      <c r="AI38" s="85">
        <f t="shared" ref="AI38:AI69" si="77">AH38*$U38*$V38</f>
        <v>4622051.0984723773</v>
      </c>
      <c r="AJ38" s="93">
        <f t="shared" ref="AJ38:AJ69" si="78">IF(OR(AND(AF38=1,AI$90&gt;$T$90),AND(AG38=1,AI$90&lt;$T$90)),0,$W38)</f>
        <v>5543797.6473558061</v>
      </c>
      <c r="AK38" s="93">
        <f t="shared" si="7"/>
        <v>4805610.6213438073</v>
      </c>
      <c r="AL38" s="94">
        <f t="shared" si="45"/>
        <v>0</v>
      </c>
      <c r="AM38" s="95"/>
      <c r="AN38" s="85">
        <f t="shared" si="46"/>
        <v>5495.6795035182377</v>
      </c>
      <c r="AO38" s="85">
        <f t="shared" ref="AO38:AO69" si="79">AN38*$U38*$V38</f>
        <v>4607908.0197214102</v>
      </c>
      <c r="AP38" s="92">
        <f t="shared" si="47"/>
        <v>0</v>
      </c>
      <c r="AQ38" s="92">
        <f t="shared" si="48"/>
        <v>0</v>
      </c>
      <c r="AR38" s="85">
        <f t="shared" si="49"/>
        <v>5495.6795035182377</v>
      </c>
      <c r="AS38" s="85">
        <f t="shared" ref="AS38:AS69" si="80">AR38*$U38*$V38</f>
        <v>4607908.0197214102</v>
      </c>
      <c r="AT38" s="93">
        <f t="shared" ref="AT38:AT69" si="81">IF(OR(AND(AP38=1,AS$90&gt;$T$90),AND(AQ38=1,AS$90&lt;$T$90),AL38=1),0,$W38)</f>
        <v>5543797.6473558061</v>
      </c>
      <c r="AU38" s="93">
        <f t="shared" si="11"/>
        <v>4805610.6213438073</v>
      </c>
      <c r="AV38" s="94">
        <f t="shared" si="12"/>
        <v>0</v>
      </c>
      <c r="AW38" s="92">
        <f t="shared" si="13"/>
        <v>0</v>
      </c>
      <c r="AX38" s="95"/>
      <c r="AY38" s="85">
        <f t="shared" si="50"/>
        <v>5505.3357438485546</v>
      </c>
      <c r="AZ38" s="85">
        <f t="shared" ref="AZ38:AZ69" si="82">AY38*$U38*$V38</f>
        <v>4616004.3920134874</v>
      </c>
      <c r="BA38" s="92">
        <f t="shared" si="51"/>
        <v>0</v>
      </c>
      <c r="BB38" s="92">
        <f t="shared" si="52"/>
        <v>0</v>
      </c>
      <c r="BC38" s="85">
        <f t="shared" si="53"/>
        <v>5505.3357438485546</v>
      </c>
      <c r="BD38" s="85">
        <f t="shared" ref="BD38:BD69" si="83">BC38*$U38*$V38</f>
        <v>4616004.3920134874</v>
      </c>
      <c r="BE38" s="96">
        <f t="shared" ref="BE38:BE69" si="84">IF(OR(AND(BA38=1,BD$90&gt;$T$90),AND(BB38=1,BD$90&lt;$T$90),AV38=1),0,$W38)</f>
        <v>5543797.6473558061</v>
      </c>
      <c r="BF38" s="96">
        <f t="shared" si="17"/>
        <v>4805610.6213438073</v>
      </c>
      <c r="BG38" s="94">
        <f t="shared" si="18"/>
        <v>0</v>
      </c>
      <c r="BH38" s="92">
        <f t="shared" si="19"/>
        <v>0</v>
      </c>
      <c r="BI38" s="95"/>
      <c r="BJ38" s="85">
        <f t="shared" si="54"/>
        <v>5505.3357438485546</v>
      </c>
      <c r="BK38" s="85">
        <f t="shared" ref="BK38:BK69" si="85">BJ38*$U38*$V38</f>
        <v>4616004.3920134874</v>
      </c>
      <c r="BL38" s="92">
        <f t="shared" si="55"/>
        <v>0</v>
      </c>
      <c r="BM38" s="92">
        <f t="shared" si="56"/>
        <v>0</v>
      </c>
      <c r="BN38" s="85">
        <f t="shared" si="57"/>
        <v>5505.3357438485546</v>
      </c>
      <c r="BO38" s="85">
        <f t="shared" ref="BO38:BO69" si="86">BN38*$U38*$V38</f>
        <v>4616004.3920134874</v>
      </c>
      <c r="BP38" s="93">
        <f t="shared" ref="BP38:BP69" si="87">IF(OR(AND(BL38=1,BO$90&gt;$T$90),AND(BM38=1,BO$90&lt;$T$90),BG38=1),0,$W38)</f>
        <v>5543797.6473558061</v>
      </c>
      <c r="BQ38" s="93">
        <f t="shared" si="23"/>
        <v>4805610.6213438073</v>
      </c>
      <c r="BR38" s="94">
        <f t="shared" si="24"/>
        <v>0</v>
      </c>
      <c r="BS38" s="92">
        <f t="shared" si="25"/>
        <v>0</v>
      </c>
      <c r="BT38" s="95"/>
      <c r="BU38" s="85">
        <f t="shared" si="58"/>
        <v>5505.3357438485546</v>
      </c>
      <c r="BV38" s="85">
        <f t="shared" ref="BV38:BV69" si="88">BU38*$U38*$V38</f>
        <v>4616004.3920134874</v>
      </c>
      <c r="BW38" s="92">
        <f t="shared" si="59"/>
        <v>0</v>
      </c>
      <c r="BX38" s="92">
        <f t="shared" si="60"/>
        <v>0</v>
      </c>
      <c r="BY38" s="85">
        <f t="shared" si="61"/>
        <v>5505.3357438485546</v>
      </c>
      <c r="BZ38" s="85">
        <f t="shared" ref="BZ38:BZ69" si="89">BY38*$U38*$V38</f>
        <v>4616004.3920134874</v>
      </c>
      <c r="CA38" s="96">
        <f t="shared" ref="CA38:CA69" si="90">IF(OR(AND(BW38=1,BZ$90&gt;$T$90),AND(BX38=1,BZ$90&lt;$T$90),BR38=1),0,$W38)</f>
        <v>5543797.6473558061</v>
      </c>
      <c r="CB38" s="96">
        <f t="shared" si="29"/>
        <v>4805610.6213438073</v>
      </c>
      <c r="CC38" s="94">
        <f t="shared" si="30"/>
        <v>0</v>
      </c>
      <c r="CD38" s="92">
        <f t="shared" si="31"/>
        <v>0</v>
      </c>
      <c r="CE38" s="66"/>
      <c r="CF38" s="85">
        <f t="shared" si="62"/>
        <v>5505.3357438485546</v>
      </c>
      <c r="CG38" s="85">
        <f t="shared" ref="CG38:CG69" si="91">CF38*$U38*$V38</f>
        <v>4616004.3920134874</v>
      </c>
      <c r="CH38" s="92">
        <f t="shared" si="63"/>
        <v>0</v>
      </c>
      <c r="CI38" s="92">
        <f t="shared" si="64"/>
        <v>0</v>
      </c>
      <c r="CJ38" s="85">
        <f t="shared" si="65"/>
        <v>5505.3357438485546</v>
      </c>
      <c r="CK38" s="85">
        <f t="shared" ref="CK38:CK69" si="92">CJ38*$U38*$V38</f>
        <v>4616004.3920134874</v>
      </c>
      <c r="CL38" s="97">
        <f t="shared" si="34"/>
        <v>0.96054482057114732</v>
      </c>
      <c r="CM38" s="261"/>
      <c r="CN38" s="295">
        <f t="shared" si="66"/>
        <v>5615.44</v>
      </c>
      <c r="CP38" s="85">
        <f t="shared" si="67"/>
        <v>5615.44</v>
      </c>
      <c r="CQ38" s="85">
        <f t="shared" si="68"/>
        <v>5053.8959999999997</v>
      </c>
      <c r="CR38" s="85">
        <f t="shared" si="69"/>
        <v>6176.9840000000004</v>
      </c>
      <c r="CS38" s="295">
        <f t="shared" si="70"/>
        <v>5615.4424587255262</v>
      </c>
      <c r="CT38" s="295">
        <f t="shared" si="71"/>
        <v>5615.4424587255262</v>
      </c>
      <c r="CU38" s="303"/>
      <c r="CV38" s="303"/>
    </row>
    <row r="39" spans="1:100" s="153" customFormat="1" ht="15" customHeight="1" x14ac:dyDescent="0.3">
      <c r="A39" s="174">
        <v>60104</v>
      </c>
      <c r="B39" s="176" t="s">
        <v>270</v>
      </c>
      <c r="C39" s="175">
        <f>VLOOKUP($A39,'Fed Bs Rt+IME+GME+VBP+RAA+HAC'!$B$5:$AC$88,15,FALSE)</f>
        <v>6521.7222690000008</v>
      </c>
      <c r="D39" s="175">
        <f>VLOOKUP($A39,'Fed Bs Rt+IME+GME+VBP+RAA+HAC'!$B$5:$AC$88,21,FALSE)</f>
        <v>1042.7566210876801</v>
      </c>
      <c r="E39" s="175">
        <f>VLOOKUP($A39,'Fed Bs Rt+IME+GME+VBP+RAA+HAC'!$B$5:$AC$88,25,FALSE)</f>
        <v>-30.879738100799841</v>
      </c>
      <c r="F39" s="175">
        <f>VLOOKUP($A39,'Fed Bs Rt+IME+GME+VBP+RAA+HAC'!$B$5:$AC$88,23,FALSE)</f>
        <v>47.893868309280151</v>
      </c>
      <c r="G39" s="175">
        <f>VLOOKUP($A39,'Fed Bs Rt+IME+GME+VBP+RAA+HAC'!$B$5:$AC$88,28,FALSE)</f>
        <v>0</v>
      </c>
      <c r="H39" s="175">
        <f t="shared" si="35"/>
        <v>1059.7707512961604</v>
      </c>
      <c r="I39" s="175">
        <f>VLOOKUP($A39,'Fed Bs Rt+IME+GME+VBP+RAA+HAC'!$B$5:$AC$88,16,FALSE)</f>
        <v>86.353202514437328</v>
      </c>
      <c r="J39" s="175">
        <f t="shared" si="36"/>
        <v>0</v>
      </c>
      <c r="K39" s="175">
        <f t="shared" si="72"/>
        <v>0</v>
      </c>
      <c r="L39" s="294">
        <f>IF(OR(J39&gt;0,K39&gt;0,M39&gt;0),0,IF(VLOOKUP(A39,'Low Discharge'!A:C,3,FALSE)&lt;=L$3,L$1*C39,IF(VLOOKUP(A39,'Low Discharge'!A:C,3,FALSE)&gt;=L$2,0,(VLOOKUP(A39,'Low Discharge'!A:C,3,FALSE)-L$2)/(L$3-L$2)*L$1*C39)))</f>
        <v>0</v>
      </c>
      <c r="M39" s="170">
        <f>IF(VLOOKUP($A39,Characteristics!$A:$E,3,FALSE)=2,M$1*C39,0)</f>
        <v>0</v>
      </c>
      <c r="N39" s="170">
        <f>IF(VLOOKUP($A39,Characteristics!$A:$E,5,FALSE)&gt;=N$2,N$1*C39,IF(VLOOKUP($A39,Characteristics!$A:$E,5,FALSE)&lt;=N$3,0,(VLOOKUP($A39,Characteristics!$A:$E,5,FALSE)-N$3)/(N$2-N$3)*N$1*C39))</f>
        <v>0</v>
      </c>
      <c r="O39" s="170">
        <f>IF(VLOOKUP($A39,Characteristics!$A:$F,6,FALSE)&lt;=O$3,O$1*C39,IF(VLOOKUP($A39,Characteristics!$A:$F,6,FALSE)&gt;=O$2,0,(VLOOKUP($A39,Characteristics!$A:$F,6,FALSE)-O$2)/(O$3-O$2)*O$1*C39))</f>
        <v>0</v>
      </c>
      <c r="P39" s="175">
        <f t="shared" si="73"/>
        <v>7667.8462228105991</v>
      </c>
      <c r="Q39" s="175"/>
      <c r="R39" s="85">
        <v>6201.41</v>
      </c>
      <c r="S39" s="86">
        <f t="shared" si="37"/>
        <v>6356.4452499999989</v>
      </c>
      <c r="T39" s="85">
        <f t="shared" si="74"/>
        <v>14860534.893490912</v>
      </c>
      <c r="U39" s="88">
        <v>1984.9661999999998</v>
      </c>
      <c r="V39" s="89">
        <v>1.1777877017250975</v>
      </c>
      <c r="W39" s="90">
        <f t="shared" si="75"/>
        <v>17926418.284181625</v>
      </c>
      <c r="X39" s="98" t="s">
        <v>5</v>
      </c>
      <c r="Y39" s="85">
        <f t="shared" si="38"/>
        <v>6356.4452499999989</v>
      </c>
      <c r="Z39" s="85">
        <f t="shared" si="39"/>
        <v>5720.8007249999991</v>
      </c>
      <c r="AA39" s="85">
        <f t="shared" si="40"/>
        <v>6992.0897749999995</v>
      </c>
      <c r="AB39" s="230"/>
      <c r="AC39" s="99"/>
      <c r="AD39" s="85">
        <f t="shared" si="41"/>
        <v>6392.9420428906114</v>
      </c>
      <c r="AE39" s="85">
        <f t="shared" si="76"/>
        <v>14945859.606112558</v>
      </c>
      <c r="AF39" s="92">
        <f t="shared" si="42"/>
        <v>0</v>
      </c>
      <c r="AG39" s="92">
        <f t="shared" si="43"/>
        <v>0</v>
      </c>
      <c r="AH39" s="85">
        <f t="shared" si="44"/>
        <v>6392.9420428906114</v>
      </c>
      <c r="AI39" s="85">
        <f t="shared" si="77"/>
        <v>14945859.606112558</v>
      </c>
      <c r="AJ39" s="93">
        <f t="shared" si="78"/>
        <v>17926418.284181625</v>
      </c>
      <c r="AK39" s="93">
        <f t="shared" si="7"/>
        <v>14860534.893490912</v>
      </c>
      <c r="AL39" s="94">
        <f t="shared" si="45"/>
        <v>0</v>
      </c>
      <c r="AM39" s="95"/>
      <c r="AN39" s="85">
        <f t="shared" si="46"/>
        <v>6373.3801901900097</v>
      </c>
      <c r="AO39" s="85">
        <f t="shared" si="79"/>
        <v>14900126.561430292</v>
      </c>
      <c r="AP39" s="92">
        <f t="shared" si="47"/>
        <v>0</v>
      </c>
      <c r="AQ39" s="92">
        <f t="shared" si="48"/>
        <v>0</v>
      </c>
      <c r="AR39" s="85">
        <f t="shared" si="49"/>
        <v>6373.3801901900097</v>
      </c>
      <c r="AS39" s="85">
        <f t="shared" si="80"/>
        <v>14900126.561430292</v>
      </c>
      <c r="AT39" s="93">
        <f t="shared" si="81"/>
        <v>17926418.284181625</v>
      </c>
      <c r="AU39" s="93">
        <f t="shared" si="11"/>
        <v>14860534.893490912</v>
      </c>
      <c r="AV39" s="94">
        <f t="shared" si="12"/>
        <v>0</v>
      </c>
      <c r="AW39" s="92">
        <f t="shared" si="13"/>
        <v>0</v>
      </c>
      <c r="AX39" s="95"/>
      <c r="AY39" s="85">
        <f t="shared" si="50"/>
        <v>6384.5786035606498</v>
      </c>
      <c r="AZ39" s="85">
        <f t="shared" si="82"/>
        <v>14926306.982420487</v>
      </c>
      <c r="BA39" s="92">
        <f t="shared" si="51"/>
        <v>0</v>
      </c>
      <c r="BB39" s="92">
        <f t="shared" si="52"/>
        <v>0</v>
      </c>
      <c r="BC39" s="85">
        <f t="shared" si="53"/>
        <v>6384.5786035606498</v>
      </c>
      <c r="BD39" s="85">
        <f t="shared" si="83"/>
        <v>14926306.982420487</v>
      </c>
      <c r="BE39" s="96">
        <f t="shared" si="84"/>
        <v>17926418.284181625</v>
      </c>
      <c r="BF39" s="96">
        <f t="shared" si="17"/>
        <v>14860534.893490912</v>
      </c>
      <c r="BG39" s="94">
        <f t="shared" si="18"/>
        <v>0</v>
      </c>
      <c r="BH39" s="92">
        <f t="shared" si="19"/>
        <v>0</v>
      </c>
      <c r="BI39" s="95"/>
      <c r="BJ39" s="85">
        <f t="shared" si="54"/>
        <v>6384.5786035606498</v>
      </c>
      <c r="BK39" s="85">
        <f t="shared" si="85"/>
        <v>14926306.982420487</v>
      </c>
      <c r="BL39" s="92">
        <f t="shared" si="55"/>
        <v>0</v>
      </c>
      <c r="BM39" s="92">
        <f t="shared" si="56"/>
        <v>0</v>
      </c>
      <c r="BN39" s="85">
        <f t="shared" si="57"/>
        <v>6384.5786035606498</v>
      </c>
      <c r="BO39" s="85">
        <f t="shared" si="86"/>
        <v>14926306.982420487</v>
      </c>
      <c r="BP39" s="93">
        <f t="shared" si="87"/>
        <v>17926418.284181625</v>
      </c>
      <c r="BQ39" s="93">
        <f t="shared" si="23"/>
        <v>14860534.893490912</v>
      </c>
      <c r="BR39" s="94">
        <f t="shared" si="24"/>
        <v>0</v>
      </c>
      <c r="BS39" s="92">
        <f t="shared" si="25"/>
        <v>0</v>
      </c>
      <c r="BT39" s="95"/>
      <c r="BU39" s="85">
        <f t="shared" si="58"/>
        <v>6384.5786035606498</v>
      </c>
      <c r="BV39" s="85">
        <f t="shared" si="88"/>
        <v>14926306.982420487</v>
      </c>
      <c r="BW39" s="92">
        <f t="shared" si="59"/>
        <v>0</v>
      </c>
      <c r="BX39" s="92">
        <f t="shared" si="60"/>
        <v>0</v>
      </c>
      <c r="BY39" s="85">
        <f t="shared" si="61"/>
        <v>6384.5786035606498</v>
      </c>
      <c r="BZ39" s="85">
        <f t="shared" si="89"/>
        <v>14926306.982420487</v>
      </c>
      <c r="CA39" s="96">
        <f t="shared" si="90"/>
        <v>17926418.284181625</v>
      </c>
      <c r="CB39" s="96">
        <f t="shared" si="29"/>
        <v>14860534.893490912</v>
      </c>
      <c r="CC39" s="94">
        <f t="shared" si="30"/>
        <v>0</v>
      </c>
      <c r="CD39" s="92">
        <f t="shared" si="31"/>
        <v>0</v>
      </c>
      <c r="CE39" s="66"/>
      <c r="CF39" s="85">
        <f t="shared" si="62"/>
        <v>6384.5786035606498</v>
      </c>
      <c r="CG39" s="85">
        <f t="shared" si="91"/>
        <v>14926306.982420487</v>
      </c>
      <c r="CH39" s="92">
        <f t="shared" si="63"/>
        <v>0</v>
      </c>
      <c r="CI39" s="92">
        <f t="shared" si="64"/>
        <v>0</v>
      </c>
      <c r="CJ39" s="85">
        <f t="shared" si="65"/>
        <v>6384.5786035606498</v>
      </c>
      <c r="CK39" s="85">
        <f t="shared" si="92"/>
        <v>14926306.982420487</v>
      </c>
      <c r="CL39" s="97">
        <f t="shared" si="34"/>
        <v>1.0044259570332412</v>
      </c>
      <c r="CM39" s="261"/>
      <c r="CN39" s="295">
        <f t="shared" si="66"/>
        <v>6512.27</v>
      </c>
      <c r="CP39" s="85">
        <f t="shared" si="67"/>
        <v>6512.27</v>
      </c>
      <c r="CQ39" s="85">
        <f t="shared" si="68"/>
        <v>5861.0430000000006</v>
      </c>
      <c r="CR39" s="85">
        <f t="shared" si="69"/>
        <v>7163.4970000000012</v>
      </c>
      <c r="CS39" s="295">
        <f t="shared" si="70"/>
        <v>6512.2701756318629</v>
      </c>
      <c r="CT39" s="295">
        <f t="shared" si="71"/>
        <v>6512.2701756318629</v>
      </c>
      <c r="CU39" s="303"/>
      <c r="CV39" s="303"/>
    </row>
    <row r="40" spans="1:100" s="153" customFormat="1" ht="15" customHeight="1" x14ac:dyDescent="0.3">
      <c r="A40" s="174">
        <v>60107</v>
      </c>
      <c r="B40" s="176" t="s">
        <v>270</v>
      </c>
      <c r="C40" s="175">
        <f>VLOOKUP($A40,'Fed Bs Rt+IME+GME+VBP+RAA+HAC'!$B$5:$AC$88,15,FALSE)</f>
        <v>6521.7222690000008</v>
      </c>
      <c r="D40" s="175">
        <f>VLOOKUP($A40,'Fed Bs Rt+IME+GME+VBP+RAA+HAC'!$B$5:$AC$88,21,FALSE)</f>
        <v>0</v>
      </c>
      <c r="E40" s="175">
        <f>VLOOKUP($A40,'Fed Bs Rt+IME+GME+VBP+RAA+HAC'!$B$5:$AC$88,25,FALSE)</f>
        <v>0</v>
      </c>
      <c r="F40" s="175">
        <f>VLOOKUP($A40,'Fed Bs Rt+IME+GME+VBP+RAA+HAC'!$B$5:$AC$88,23,FALSE)</f>
        <v>0</v>
      </c>
      <c r="G40" s="175">
        <f>VLOOKUP($A40,'Fed Bs Rt+IME+GME+VBP+RAA+HAC'!$B$5:$AC$88,28,FALSE)</f>
        <v>0</v>
      </c>
      <c r="H40" s="175">
        <f t="shared" si="35"/>
        <v>0</v>
      </c>
      <c r="I40" s="175">
        <f>VLOOKUP($A40,'Fed Bs Rt+IME+GME+VBP+RAA+HAC'!$B$5:$AC$88,16,FALSE)</f>
        <v>452.39860642820634</v>
      </c>
      <c r="J40" s="175">
        <f t="shared" si="36"/>
        <v>0</v>
      </c>
      <c r="K40" s="175">
        <f t="shared" si="72"/>
        <v>0</v>
      </c>
      <c r="L40" s="294">
        <f>IF(OR(J40&gt;0,K40&gt;0,M40&gt;0),0,IF(VLOOKUP(A40,'Low Discharge'!A:C,3,FALSE)&lt;=L$3,L$1*C40,IF(VLOOKUP(A40,'Low Discharge'!A:C,3,FALSE)&gt;=L$2,0,(VLOOKUP(A40,'Low Discharge'!A:C,3,FALSE)-L$2)/(L$3-L$2)*L$1*C40)))</f>
        <v>652.17222690000017</v>
      </c>
      <c r="M40" s="170">
        <f>IF(VLOOKUP($A40,Characteristics!$A:$E,3,FALSE)=2,M$1*C40,0)</f>
        <v>0</v>
      </c>
      <c r="N40" s="170">
        <f>IF(VLOOKUP($A40,Characteristics!$A:$E,5,FALSE)&gt;=N$2,N$1*C40,IF(VLOOKUP($A40,Characteristics!$A:$E,5,FALSE)&lt;=N$3,0,(VLOOKUP($A40,Characteristics!$A:$E,5,FALSE)-N$3)/(N$2-N$3)*N$1*C40))</f>
        <v>0</v>
      </c>
      <c r="O40" s="170">
        <f>IF(VLOOKUP($A40,Characteristics!$A:$F,6,FALSE)&lt;=O$3,O$1*C40,IF(VLOOKUP($A40,Characteristics!$A:$F,6,FALSE)&gt;=O$2,0,(VLOOKUP($A40,Characteristics!$A:$F,6,FALSE)-O$2)/(O$3-O$2)*O$1*C40))</f>
        <v>1304.3444538000003</v>
      </c>
      <c r="P40" s="175">
        <f t="shared" si="73"/>
        <v>8930.6375561282075</v>
      </c>
      <c r="Q40" s="175"/>
      <c r="R40" s="85">
        <v>5933</v>
      </c>
      <c r="S40" s="86">
        <f t="shared" si="37"/>
        <v>6081.3249999999998</v>
      </c>
      <c r="T40" s="85">
        <f t="shared" si="74"/>
        <v>138341.62989499999</v>
      </c>
      <c r="U40" s="305">
        <v>30</v>
      </c>
      <c r="V40" s="89">
        <v>0.75828666666666666</v>
      </c>
      <c r="W40" s="90">
        <f t="shared" si="75"/>
        <v>203159.50150933815</v>
      </c>
      <c r="X40" s="98" t="s">
        <v>5</v>
      </c>
      <c r="Y40" s="85">
        <f t="shared" si="38"/>
        <v>6081.3249999999998</v>
      </c>
      <c r="Z40" s="85">
        <f t="shared" si="39"/>
        <v>5473.1925000000001</v>
      </c>
      <c r="AA40" s="85">
        <f t="shared" si="40"/>
        <v>6689.4575000000004</v>
      </c>
      <c r="AB40" s="230"/>
      <c r="AC40" s="101"/>
      <c r="AD40" s="85">
        <f t="shared" si="41"/>
        <v>7445.7737731551424</v>
      </c>
      <c r="AE40" s="85">
        <f t="shared" si="76"/>
        <v>169380.92925599706</v>
      </c>
      <c r="AF40" s="92">
        <f t="shared" si="42"/>
        <v>0</v>
      </c>
      <c r="AG40" s="92">
        <f t="shared" si="43"/>
        <v>1</v>
      </c>
      <c r="AH40" s="85">
        <f t="shared" si="44"/>
        <v>6689.4575000000004</v>
      </c>
      <c r="AI40" s="85">
        <f t="shared" si="77"/>
        <v>152175.7928845</v>
      </c>
      <c r="AJ40" s="93">
        <f t="shared" si="78"/>
        <v>203159.50150933815</v>
      </c>
      <c r="AK40" s="93">
        <f t="shared" si="7"/>
        <v>138341.62989499999</v>
      </c>
      <c r="AL40" s="94">
        <f t="shared" si="45"/>
        <v>0</v>
      </c>
      <c r="AM40" s="95"/>
      <c r="AN40" s="85">
        <f t="shared" si="46"/>
        <v>7422.9903459294192</v>
      </c>
      <c r="AO40" s="85">
        <f t="shared" si="79"/>
        <v>168862.63818340999</v>
      </c>
      <c r="AP40" s="92">
        <f t="shared" si="47"/>
        <v>0</v>
      </c>
      <c r="AQ40" s="92">
        <f t="shared" si="48"/>
        <v>1</v>
      </c>
      <c r="AR40" s="85">
        <f t="shared" si="49"/>
        <v>6689.4575000000004</v>
      </c>
      <c r="AS40" s="85">
        <f t="shared" si="80"/>
        <v>152175.7928845</v>
      </c>
      <c r="AT40" s="93">
        <f t="shared" si="81"/>
        <v>0</v>
      </c>
      <c r="AU40" s="93">
        <f t="shared" si="11"/>
        <v>-13834.162989500008</v>
      </c>
      <c r="AV40" s="94">
        <f t="shared" si="12"/>
        <v>1</v>
      </c>
      <c r="AW40" s="92">
        <f t="shared" si="13"/>
        <v>1</v>
      </c>
      <c r="AX40" s="95"/>
      <c r="AY40" s="85">
        <f t="shared" si="50"/>
        <v>6689.4575000000004</v>
      </c>
      <c r="AZ40" s="85">
        <f t="shared" si="82"/>
        <v>152175.7928845</v>
      </c>
      <c r="BA40" s="92">
        <f t="shared" si="51"/>
        <v>0</v>
      </c>
      <c r="BB40" s="92">
        <f t="shared" si="52"/>
        <v>1</v>
      </c>
      <c r="BC40" s="85">
        <f t="shared" si="53"/>
        <v>6689.4575000000004</v>
      </c>
      <c r="BD40" s="85">
        <f t="shared" si="83"/>
        <v>152175.7928845</v>
      </c>
      <c r="BE40" s="96">
        <f t="shared" si="84"/>
        <v>0</v>
      </c>
      <c r="BF40" s="96">
        <f t="shared" si="17"/>
        <v>-13834.162989500008</v>
      </c>
      <c r="BG40" s="94">
        <f t="shared" si="18"/>
        <v>1</v>
      </c>
      <c r="BH40" s="92">
        <f t="shared" si="19"/>
        <v>0</v>
      </c>
      <c r="BI40" s="95"/>
      <c r="BJ40" s="85">
        <f t="shared" si="54"/>
        <v>6689.4575000000004</v>
      </c>
      <c r="BK40" s="85">
        <f t="shared" si="85"/>
        <v>152175.7928845</v>
      </c>
      <c r="BL40" s="92">
        <f t="shared" si="55"/>
        <v>0</v>
      </c>
      <c r="BM40" s="92">
        <f t="shared" si="56"/>
        <v>1</v>
      </c>
      <c r="BN40" s="85">
        <f t="shared" si="57"/>
        <v>6689.4575000000004</v>
      </c>
      <c r="BO40" s="85">
        <f t="shared" si="86"/>
        <v>152175.7928845</v>
      </c>
      <c r="BP40" s="93">
        <f t="shared" si="87"/>
        <v>0</v>
      </c>
      <c r="BQ40" s="93">
        <f t="shared" si="23"/>
        <v>-13834.162989500008</v>
      </c>
      <c r="BR40" s="94">
        <f t="shared" si="24"/>
        <v>1</v>
      </c>
      <c r="BS40" s="92">
        <f t="shared" si="25"/>
        <v>0</v>
      </c>
      <c r="BT40" s="95"/>
      <c r="BU40" s="85">
        <f t="shared" si="58"/>
        <v>6689.4575000000004</v>
      </c>
      <c r="BV40" s="85">
        <f t="shared" si="88"/>
        <v>152175.7928845</v>
      </c>
      <c r="BW40" s="92">
        <f t="shared" si="59"/>
        <v>0</v>
      </c>
      <c r="BX40" s="92">
        <f t="shared" si="60"/>
        <v>1</v>
      </c>
      <c r="BY40" s="85">
        <f t="shared" si="61"/>
        <v>6689.4575000000004</v>
      </c>
      <c r="BZ40" s="85">
        <f t="shared" si="89"/>
        <v>152175.7928845</v>
      </c>
      <c r="CA40" s="96">
        <f t="shared" si="90"/>
        <v>0</v>
      </c>
      <c r="CB40" s="96">
        <f t="shared" si="29"/>
        <v>-13834.162989500008</v>
      </c>
      <c r="CC40" s="94">
        <f t="shared" si="30"/>
        <v>1</v>
      </c>
      <c r="CD40" s="92">
        <f t="shared" si="31"/>
        <v>0</v>
      </c>
      <c r="CE40" s="66"/>
      <c r="CF40" s="85">
        <f t="shared" si="62"/>
        <v>7436.0329876453388</v>
      </c>
      <c r="CG40" s="85">
        <f t="shared" si="91"/>
        <v>169159.34002274877</v>
      </c>
      <c r="CH40" s="92">
        <f t="shared" si="63"/>
        <v>0</v>
      </c>
      <c r="CI40" s="92">
        <f t="shared" si="64"/>
        <v>1</v>
      </c>
      <c r="CJ40" s="85">
        <f t="shared" si="65"/>
        <v>6689.4575000000004</v>
      </c>
      <c r="CK40" s="85">
        <f t="shared" si="92"/>
        <v>152175.7928845</v>
      </c>
      <c r="CL40" s="97">
        <f t="shared" si="34"/>
        <v>1.1000000000000001</v>
      </c>
      <c r="CM40" s="261"/>
      <c r="CN40" s="295">
        <f t="shared" si="66"/>
        <v>6823.25</v>
      </c>
      <c r="CP40" s="85">
        <f t="shared" si="67"/>
        <v>6823.25</v>
      </c>
      <c r="CQ40" s="85">
        <f t="shared" si="68"/>
        <v>6140.9250000000002</v>
      </c>
      <c r="CR40" s="85">
        <f t="shared" si="69"/>
        <v>7505.5750000000007</v>
      </c>
      <c r="CS40" s="295">
        <f t="shared" si="70"/>
        <v>7584.7536473982454</v>
      </c>
      <c r="CT40" s="295">
        <f t="shared" si="71"/>
        <v>7505.5750000000007</v>
      </c>
      <c r="CU40" s="303"/>
      <c r="CV40" s="303"/>
    </row>
    <row r="41" spans="1:100" s="153" customFormat="1" ht="15" customHeight="1" x14ac:dyDescent="0.3">
      <c r="A41" s="174">
        <v>60112</v>
      </c>
      <c r="B41" s="176" t="s">
        <v>270</v>
      </c>
      <c r="C41" s="175">
        <f>VLOOKUP($A41,'Fed Bs Rt+IME+GME+VBP+RAA+HAC'!$B$5:$AC$88,15,FALSE)</f>
        <v>6521.7222690000008</v>
      </c>
      <c r="D41" s="175">
        <f>VLOOKUP($A41,'Fed Bs Rt+IME+GME+VBP+RAA+HAC'!$B$5:$AC$88,21,FALSE)</f>
        <v>815.46292202922018</v>
      </c>
      <c r="E41" s="175">
        <f>VLOOKUP($A41,'Fed Bs Rt+IME+GME+VBP+RAA+HAC'!$B$5:$AC$88,25,FALSE)</f>
        <v>-1.8164551824002046</v>
      </c>
      <c r="F41" s="175">
        <f>VLOOKUP($A41,'Fed Bs Rt+IME+GME+VBP+RAA+HAC'!$B$5:$AC$88,23,FALSE)</f>
        <v>31.364126149439471</v>
      </c>
      <c r="G41" s="175">
        <f>VLOOKUP($A41,'Fed Bs Rt+IME+GME+VBP+RAA+HAC'!$B$5:$AC$88,28,FALSE)</f>
        <v>0</v>
      </c>
      <c r="H41" s="175">
        <f t="shared" si="35"/>
        <v>845.01059299625945</v>
      </c>
      <c r="I41" s="175">
        <f>VLOOKUP($A41,'Fed Bs Rt+IME+GME+VBP+RAA+HAC'!$B$5:$AC$88,16,FALSE)</f>
        <v>34.600183486238528</v>
      </c>
      <c r="J41" s="175">
        <f t="shared" si="36"/>
        <v>0</v>
      </c>
      <c r="K41" s="175">
        <f t="shared" si="72"/>
        <v>0</v>
      </c>
      <c r="L41" s="294">
        <f>IF(OR(J41&gt;0,K41&gt;0,M41&gt;0),0,IF(VLOOKUP(A41,'Low Discharge'!A:C,3,FALSE)&lt;=L$3,L$1*C41,IF(VLOOKUP(A41,'Low Discharge'!A:C,3,FALSE)&gt;=L$2,0,(VLOOKUP(A41,'Low Discharge'!A:C,3,FALSE)-L$2)/(L$3-L$2)*L$1*C41)))</f>
        <v>0</v>
      </c>
      <c r="M41" s="170">
        <f>IF(VLOOKUP($A41,Characteristics!$A:$E,3,FALSE)=2,M$1*C41,0)</f>
        <v>0</v>
      </c>
      <c r="N41" s="170">
        <f>IF(VLOOKUP($A41,Characteristics!$A:$E,5,FALSE)&gt;=N$2,N$1*C41,IF(VLOOKUP($A41,Characteristics!$A:$E,5,FALSE)&lt;=N$3,0,(VLOOKUP($A41,Characteristics!$A:$E,5,FALSE)-N$3)/(N$2-N$3)*N$1*C41))</f>
        <v>0</v>
      </c>
      <c r="O41" s="170">
        <f>IF(VLOOKUP($A41,Characteristics!$A:$F,6,FALSE)&lt;=O$3,O$1*C41,IF(VLOOKUP($A41,Characteristics!$A:$F,6,FALSE)&gt;=O$2,0,(VLOOKUP($A41,Characteristics!$A:$F,6,FALSE)-O$2)/(O$3-O$2)*O$1*C41))</f>
        <v>0</v>
      </c>
      <c r="P41" s="175">
        <f t="shared" si="73"/>
        <v>7401.3330454824982</v>
      </c>
      <c r="Q41" s="175"/>
      <c r="R41" s="85">
        <v>5961.42</v>
      </c>
      <c r="S41" s="86">
        <f t="shared" si="37"/>
        <v>6110.4554999999991</v>
      </c>
      <c r="T41" s="85">
        <f t="shared" si="74"/>
        <v>12133481.452351645</v>
      </c>
      <c r="U41" s="88">
        <v>1534.2893999999999</v>
      </c>
      <c r="V41" s="89">
        <v>1.2942094312455004</v>
      </c>
      <c r="W41" s="90">
        <f t="shared" si="75"/>
        <v>14696766.424375273</v>
      </c>
      <c r="X41" s="92"/>
      <c r="Y41" s="85">
        <f t="shared" si="38"/>
        <v>6110.4554999999991</v>
      </c>
      <c r="Z41" s="85">
        <f t="shared" si="39"/>
        <v>5499.4099499999993</v>
      </c>
      <c r="AA41" s="85">
        <f t="shared" si="40"/>
        <v>6721.5010499999999</v>
      </c>
      <c r="AB41" s="230"/>
      <c r="AC41" s="100"/>
      <c r="AD41" s="85">
        <f t="shared" si="41"/>
        <v>6170.7410170984358</v>
      </c>
      <c r="AE41" s="85">
        <f t="shared" si="76"/>
        <v>12253189.910020521</v>
      </c>
      <c r="AF41" s="92">
        <f t="shared" si="42"/>
        <v>0</v>
      </c>
      <c r="AG41" s="92">
        <f t="shared" si="43"/>
        <v>0</v>
      </c>
      <c r="AH41" s="85">
        <f t="shared" si="44"/>
        <v>6170.7410170984358</v>
      </c>
      <c r="AI41" s="85">
        <f t="shared" si="77"/>
        <v>12253189.910020521</v>
      </c>
      <c r="AJ41" s="93">
        <f t="shared" si="78"/>
        <v>14696766.424375273</v>
      </c>
      <c r="AK41" s="93">
        <f t="shared" si="7"/>
        <v>12133481.452351645</v>
      </c>
      <c r="AL41" s="94">
        <f t="shared" si="45"/>
        <v>0</v>
      </c>
      <c r="AM41" s="95"/>
      <c r="AN41" s="85">
        <f t="shared" si="46"/>
        <v>6151.8590804219912</v>
      </c>
      <c r="AO41" s="85">
        <f t="shared" si="79"/>
        <v>12215696.202972312</v>
      </c>
      <c r="AP41" s="92">
        <f t="shared" si="47"/>
        <v>0</v>
      </c>
      <c r="AQ41" s="92">
        <f t="shared" si="48"/>
        <v>0</v>
      </c>
      <c r="AR41" s="85">
        <f t="shared" si="49"/>
        <v>6151.8590804219912</v>
      </c>
      <c r="AS41" s="85">
        <f t="shared" si="80"/>
        <v>12215696.202972312</v>
      </c>
      <c r="AT41" s="93">
        <f t="shared" si="81"/>
        <v>14696766.424375273</v>
      </c>
      <c r="AU41" s="93">
        <f t="shared" si="11"/>
        <v>12133481.452351645</v>
      </c>
      <c r="AV41" s="94">
        <f t="shared" si="12"/>
        <v>0</v>
      </c>
      <c r="AW41" s="92">
        <f t="shared" si="13"/>
        <v>0</v>
      </c>
      <c r="AX41" s="95"/>
      <c r="AY41" s="85">
        <f t="shared" si="50"/>
        <v>6162.6682678429033</v>
      </c>
      <c r="AZ41" s="85">
        <f t="shared" si="82"/>
        <v>12237159.917925581</v>
      </c>
      <c r="BA41" s="92">
        <f t="shared" si="51"/>
        <v>0</v>
      </c>
      <c r="BB41" s="92">
        <f t="shared" si="52"/>
        <v>0</v>
      </c>
      <c r="BC41" s="85">
        <f t="shared" si="53"/>
        <v>6162.6682678429033</v>
      </c>
      <c r="BD41" s="85">
        <f t="shared" si="83"/>
        <v>12237159.917925581</v>
      </c>
      <c r="BE41" s="96">
        <f t="shared" si="84"/>
        <v>14696766.424375273</v>
      </c>
      <c r="BF41" s="96">
        <f t="shared" si="17"/>
        <v>12133481.452351645</v>
      </c>
      <c r="BG41" s="94">
        <f t="shared" si="18"/>
        <v>0</v>
      </c>
      <c r="BH41" s="92">
        <f t="shared" si="19"/>
        <v>0</v>
      </c>
      <c r="BI41" s="95"/>
      <c r="BJ41" s="85">
        <f t="shared" si="54"/>
        <v>6162.6682678429033</v>
      </c>
      <c r="BK41" s="85">
        <f t="shared" si="85"/>
        <v>12237159.917925581</v>
      </c>
      <c r="BL41" s="92">
        <f t="shared" si="55"/>
        <v>0</v>
      </c>
      <c r="BM41" s="92">
        <f t="shared" si="56"/>
        <v>0</v>
      </c>
      <c r="BN41" s="85">
        <f t="shared" si="57"/>
        <v>6162.6682678429033</v>
      </c>
      <c r="BO41" s="85">
        <f t="shared" si="86"/>
        <v>12237159.917925581</v>
      </c>
      <c r="BP41" s="93">
        <f t="shared" si="87"/>
        <v>14696766.424375273</v>
      </c>
      <c r="BQ41" s="93">
        <f t="shared" si="23"/>
        <v>12133481.452351645</v>
      </c>
      <c r="BR41" s="94">
        <f t="shared" si="24"/>
        <v>0</v>
      </c>
      <c r="BS41" s="92">
        <f t="shared" si="25"/>
        <v>0</v>
      </c>
      <c r="BT41" s="95"/>
      <c r="BU41" s="85">
        <f t="shared" si="58"/>
        <v>6162.6682678429033</v>
      </c>
      <c r="BV41" s="85">
        <f t="shared" si="88"/>
        <v>12237159.917925581</v>
      </c>
      <c r="BW41" s="92">
        <f t="shared" si="59"/>
        <v>0</v>
      </c>
      <c r="BX41" s="92">
        <f t="shared" si="60"/>
        <v>0</v>
      </c>
      <c r="BY41" s="85">
        <f t="shared" si="61"/>
        <v>6162.6682678429033</v>
      </c>
      <c r="BZ41" s="85">
        <f t="shared" si="89"/>
        <v>12237159.917925581</v>
      </c>
      <c r="CA41" s="96">
        <f t="shared" si="90"/>
        <v>14696766.424375273</v>
      </c>
      <c r="CB41" s="96">
        <f t="shared" si="29"/>
        <v>12133481.452351645</v>
      </c>
      <c r="CC41" s="94">
        <f t="shared" si="30"/>
        <v>0</v>
      </c>
      <c r="CD41" s="92">
        <f t="shared" si="31"/>
        <v>0</v>
      </c>
      <c r="CE41" s="66"/>
      <c r="CF41" s="85">
        <f t="shared" si="62"/>
        <v>6162.6682678429033</v>
      </c>
      <c r="CG41" s="85">
        <f t="shared" si="91"/>
        <v>12237159.917925581</v>
      </c>
      <c r="CH41" s="92">
        <f t="shared" si="63"/>
        <v>0</v>
      </c>
      <c r="CI41" s="92">
        <f t="shared" si="64"/>
        <v>0</v>
      </c>
      <c r="CJ41" s="85">
        <f t="shared" si="65"/>
        <v>6162.6682678429033</v>
      </c>
      <c r="CK41" s="85">
        <f t="shared" si="92"/>
        <v>12237159.917925581</v>
      </c>
      <c r="CL41" s="97">
        <f t="shared" si="34"/>
        <v>1.0085448241694754</v>
      </c>
      <c r="CM41" s="261"/>
      <c r="CN41" s="295">
        <f t="shared" si="66"/>
        <v>6285.92</v>
      </c>
      <c r="CP41" s="85">
        <f t="shared" si="67"/>
        <v>6285.92</v>
      </c>
      <c r="CQ41" s="85">
        <f t="shared" si="68"/>
        <v>5657.3280000000004</v>
      </c>
      <c r="CR41" s="85">
        <f t="shared" si="69"/>
        <v>6914.5120000000006</v>
      </c>
      <c r="CS41" s="295">
        <f t="shared" si="70"/>
        <v>6285.9216331997613</v>
      </c>
      <c r="CT41" s="295">
        <f t="shared" si="71"/>
        <v>6285.9216331997613</v>
      </c>
      <c r="CU41" s="303"/>
      <c r="CV41" s="303"/>
    </row>
    <row r="42" spans="1:100" s="153" customFormat="1" ht="15" customHeight="1" x14ac:dyDescent="0.3">
      <c r="A42" s="174">
        <v>60113</v>
      </c>
      <c r="B42" s="176" t="s">
        <v>270</v>
      </c>
      <c r="C42" s="175">
        <f>VLOOKUP($A42,'Fed Bs Rt+IME+GME+VBP+RAA+HAC'!$B$5:$AC$88,15,FALSE)</f>
        <v>6521.7222690000008</v>
      </c>
      <c r="D42" s="175">
        <f>VLOOKUP($A42,'Fed Bs Rt+IME+GME+VBP+RAA+HAC'!$B$5:$AC$88,21,FALSE)</f>
        <v>0</v>
      </c>
      <c r="E42" s="175">
        <f>VLOOKUP($A42,'Fed Bs Rt+IME+GME+VBP+RAA+HAC'!$B$5:$AC$88,25,FALSE)</f>
        <v>-11.504216155200083</v>
      </c>
      <c r="F42" s="175">
        <f>VLOOKUP($A42,'Fed Bs Rt+IME+GME+VBP+RAA+HAC'!$B$5:$AC$88,23,FALSE)</f>
        <v>-19.133327921280316</v>
      </c>
      <c r="G42" s="175">
        <f>VLOOKUP($A42,'Fed Bs Rt+IME+GME+VBP+RAA+HAC'!$B$5:$AC$88,28,FALSE)</f>
        <v>0</v>
      </c>
      <c r="H42" s="175">
        <f t="shared" si="35"/>
        <v>-30.637544076480399</v>
      </c>
      <c r="I42" s="175">
        <f>VLOOKUP($A42,'Fed Bs Rt+IME+GME+VBP+RAA+HAC'!$B$5:$AC$88,16,FALSE)</f>
        <v>0</v>
      </c>
      <c r="J42" s="175">
        <f t="shared" si="36"/>
        <v>0</v>
      </c>
      <c r="K42" s="175">
        <f t="shared" si="72"/>
        <v>0</v>
      </c>
      <c r="L42" s="294">
        <f>IF(OR(J42&gt;0,K42&gt;0,M42&gt;0),0,IF(VLOOKUP(A42,'Low Discharge'!A:C,3,FALSE)&lt;=L$3,L$1*C42,IF(VLOOKUP(A42,'Low Discharge'!A:C,3,FALSE)&gt;=L$2,0,(VLOOKUP(A42,'Low Discharge'!A:C,3,FALSE)-L$2)/(L$3-L$2)*L$1*C42)))</f>
        <v>0</v>
      </c>
      <c r="M42" s="170">
        <f>IF(VLOOKUP($A42,Characteristics!$A:$E,3,FALSE)=2,M$1*C42,0)</f>
        <v>0</v>
      </c>
      <c r="N42" s="170">
        <f>IF(VLOOKUP($A42,Characteristics!$A:$E,5,FALSE)&gt;=N$2,N$1*C42,IF(VLOOKUP($A42,Characteristics!$A:$E,5,FALSE)&lt;=N$3,0,(VLOOKUP($A42,Characteristics!$A:$E,5,FALSE)-N$3)/(N$2-N$3)*N$1*C42))</f>
        <v>0</v>
      </c>
      <c r="O42" s="170">
        <f>IF(VLOOKUP($A42,Characteristics!$A:$F,6,FALSE)&lt;=O$3,O$1*C42,IF(VLOOKUP($A42,Characteristics!$A:$F,6,FALSE)&gt;=O$2,0,(VLOOKUP($A42,Characteristics!$A:$F,6,FALSE)-O$2)/(O$3-O$2)*O$1*C42))</f>
        <v>0</v>
      </c>
      <c r="P42" s="175">
        <f t="shared" si="73"/>
        <v>6491.0847249235203</v>
      </c>
      <c r="Q42" s="175"/>
      <c r="R42" s="85">
        <v>5376.32</v>
      </c>
      <c r="S42" s="86">
        <f t="shared" si="37"/>
        <v>5510.7279999999992</v>
      </c>
      <c r="T42" s="85">
        <f t="shared" si="74"/>
        <v>9216853.5280853994</v>
      </c>
      <c r="U42" s="88">
        <v>1111.2275999999999</v>
      </c>
      <c r="V42" s="89">
        <v>1.5051184890656064</v>
      </c>
      <c r="W42" s="90">
        <f t="shared" si="75"/>
        <v>10856528.78313221</v>
      </c>
      <c r="X42" s="98" t="s">
        <v>5</v>
      </c>
      <c r="Y42" s="85">
        <f t="shared" si="38"/>
        <v>5510.7279999999992</v>
      </c>
      <c r="Z42" s="85">
        <f t="shared" si="39"/>
        <v>4959.6551999999992</v>
      </c>
      <c r="AA42" s="85">
        <f t="shared" si="40"/>
        <v>6061.8008</v>
      </c>
      <c r="AB42" s="230"/>
      <c r="AC42" s="101"/>
      <c r="AD42" s="85">
        <f t="shared" si="41"/>
        <v>5411.8362883284472</v>
      </c>
      <c r="AE42" s="85">
        <f t="shared" si="76"/>
        <v>9051454.2520517521</v>
      </c>
      <c r="AF42" s="92">
        <f t="shared" si="42"/>
        <v>0</v>
      </c>
      <c r="AG42" s="92">
        <f t="shared" si="43"/>
        <v>0</v>
      </c>
      <c r="AH42" s="85">
        <f t="shared" si="44"/>
        <v>5411.8362883284472</v>
      </c>
      <c r="AI42" s="85">
        <f t="shared" si="77"/>
        <v>9051454.2520517521</v>
      </c>
      <c r="AJ42" s="93">
        <f t="shared" si="78"/>
        <v>10856528.78313221</v>
      </c>
      <c r="AK42" s="93">
        <f t="shared" si="7"/>
        <v>9216853.5280853994</v>
      </c>
      <c r="AL42" s="94">
        <f t="shared" si="45"/>
        <v>0</v>
      </c>
      <c r="AM42" s="95"/>
      <c r="AN42" s="85">
        <f t="shared" si="46"/>
        <v>5395.2765348375196</v>
      </c>
      <c r="AO42" s="85">
        <f t="shared" si="79"/>
        <v>9023757.5806887168</v>
      </c>
      <c r="AP42" s="92">
        <f t="shared" si="47"/>
        <v>0</v>
      </c>
      <c r="AQ42" s="92">
        <f t="shared" si="48"/>
        <v>0</v>
      </c>
      <c r="AR42" s="85">
        <f t="shared" si="49"/>
        <v>5395.2765348375196</v>
      </c>
      <c r="AS42" s="85">
        <f t="shared" si="80"/>
        <v>9023757.5806887168</v>
      </c>
      <c r="AT42" s="93">
        <f t="shared" si="81"/>
        <v>10856528.78313221</v>
      </c>
      <c r="AU42" s="93">
        <f t="shared" si="11"/>
        <v>9216853.5280853994</v>
      </c>
      <c r="AV42" s="94">
        <f t="shared" si="12"/>
        <v>0</v>
      </c>
      <c r="AW42" s="92">
        <f t="shared" si="13"/>
        <v>0</v>
      </c>
      <c r="AX42" s="95"/>
      <c r="AY42" s="85">
        <f t="shared" si="50"/>
        <v>5404.7563610965935</v>
      </c>
      <c r="AZ42" s="85">
        <f t="shared" si="82"/>
        <v>9039612.8669778556</v>
      </c>
      <c r="BA42" s="92">
        <f t="shared" si="51"/>
        <v>0</v>
      </c>
      <c r="BB42" s="92">
        <f t="shared" si="52"/>
        <v>0</v>
      </c>
      <c r="BC42" s="85">
        <f t="shared" si="53"/>
        <v>5404.7563610965935</v>
      </c>
      <c r="BD42" s="85">
        <f t="shared" si="83"/>
        <v>9039612.8669778556</v>
      </c>
      <c r="BE42" s="96">
        <f t="shared" si="84"/>
        <v>10856528.78313221</v>
      </c>
      <c r="BF42" s="96">
        <f t="shared" si="17"/>
        <v>9216853.5280853994</v>
      </c>
      <c r="BG42" s="94">
        <f t="shared" si="18"/>
        <v>0</v>
      </c>
      <c r="BH42" s="92">
        <f t="shared" si="19"/>
        <v>0</v>
      </c>
      <c r="BI42" s="95"/>
      <c r="BJ42" s="85">
        <f t="shared" si="54"/>
        <v>5404.7563610965935</v>
      </c>
      <c r="BK42" s="85">
        <f t="shared" si="85"/>
        <v>9039612.8669778556</v>
      </c>
      <c r="BL42" s="92">
        <f t="shared" si="55"/>
        <v>0</v>
      </c>
      <c r="BM42" s="92">
        <f t="shared" si="56"/>
        <v>0</v>
      </c>
      <c r="BN42" s="85">
        <f t="shared" si="57"/>
        <v>5404.7563610965935</v>
      </c>
      <c r="BO42" s="85">
        <f t="shared" si="86"/>
        <v>9039612.8669778556</v>
      </c>
      <c r="BP42" s="93">
        <f t="shared" si="87"/>
        <v>10856528.78313221</v>
      </c>
      <c r="BQ42" s="93">
        <f t="shared" si="23"/>
        <v>9216853.5280853994</v>
      </c>
      <c r="BR42" s="94">
        <f t="shared" si="24"/>
        <v>0</v>
      </c>
      <c r="BS42" s="92">
        <f t="shared" si="25"/>
        <v>0</v>
      </c>
      <c r="BT42" s="95"/>
      <c r="BU42" s="85">
        <f t="shared" si="58"/>
        <v>5404.7563610965935</v>
      </c>
      <c r="BV42" s="85">
        <f t="shared" si="88"/>
        <v>9039612.8669778556</v>
      </c>
      <c r="BW42" s="92">
        <f t="shared" si="59"/>
        <v>0</v>
      </c>
      <c r="BX42" s="92">
        <f t="shared" si="60"/>
        <v>0</v>
      </c>
      <c r="BY42" s="85">
        <f t="shared" si="61"/>
        <v>5404.7563610965935</v>
      </c>
      <c r="BZ42" s="85">
        <f t="shared" si="89"/>
        <v>9039612.8669778556</v>
      </c>
      <c r="CA42" s="96">
        <f t="shared" si="90"/>
        <v>10856528.78313221</v>
      </c>
      <c r="CB42" s="96">
        <f t="shared" si="29"/>
        <v>9216853.5280853994</v>
      </c>
      <c r="CC42" s="94">
        <f t="shared" si="30"/>
        <v>0</v>
      </c>
      <c r="CD42" s="92">
        <f t="shared" si="31"/>
        <v>0</v>
      </c>
      <c r="CE42" s="66"/>
      <c r="CF42" s="85">
        <f t="shared" si="62"/>
        <v>5404.7563610965935</v>
      </c>
      <c r="CG42" s="85">
        <f t="shared" si="91"/>
        <v>9039612.8669778556</v>
      </c>
      <c r="CH42" s="92">
        <f t="shared" si="63"/>
        <v>0</v>
      </c>
      <c r="CI42" s="92">
        <f t="shared" si="64"/>
        <v>0</v>
      </c>
      <c r="CJ42" s="85">
        <f t="shared" si="65"/>
        <v>5404.7563610965935</v>
      </c>
      <c r="CK42" s="85">
        <f t="shared" si="92"/>
        <v>9039612.8669778556</v>
      </c>
      <c r="CL42" s="97">
        <f t="shared" si="34"/>
        <v>0.9807699383995353</v>
      </c>
      <c r="CM42" s="261"/>
      <c r="CN42" s="295">
        <f t="shared" si="66"/>
        <v>5512.85</v>
      </c>
      <c r="CP42" s="85">
        <f t="shared" si="67"/>
        <v>5512.85</v>
      </c>
      <c r="CQ42" s="85">
        <f t="shared" si="68"/>
        <v>4961.5650000000005</v>
      </c>
      <c r="CR42" s="85">
        <f t="shared" si="69"/>
        <v>6064.1350000000011</v>
      </c>
      <c r="CS42" s="295">
        <f t="shared" si="70"/>
        <v>5512.8514883185253</v>
      </c>
      <c r="CT42" s="295">
        <f t="shared" si="71"/>
        <v>5512.8514883185253</v>
      </c>
      <c r="CU42" s="303"/>
      <c r="CV42" s="303"/>
    </row>
    <row r="43" spans="1:100" s="153" customFormat="1" ht="15" customHeight="1" x14ac:dyDescent="0.3">
      <c r="A43" s="174">
        <v>60114</v>
      </c>
      <c r="B43" s="176" t="s">
        <v>270</v>
      </c>
      <c r="C43" s="175">
        <f>VLOOKUP($A43,'Fed Bs Rt+IME+GME+VBP+RAA+HAC'!$B$5:$AC$88,15,FALSE)</f>
        <v>6521.7222690000008</v>
      </c>
      <c r="D43" s="175">
        <f>VLOOKUP($A43,'Fed Bs Rt+IME+GME+VBP+RAA+HAC'!$B$5:$AC$88,21,FALSE)</f>
        <v>0</v>
      </c>
      <c r="E43" s="175">
        <f>VLOOKUP($A43,'Fed Bs Rt+IME+GME+VBP+RAA+HAC'!$B$5:$AC$88,25,FALSE)</f>
        <v>-47.227834742399864</v>
      </c>
      <c r="F43" s="175">
        <f>VLOOKUP($A43,'Fed Bs Rt+IME+GME+VBP+RAA+HAC'!$B$5:$AC$88,23,FALSE)</f>
        <v>40.08311102496009</v>
      </c>
      <c r="G43" s="175">
        <f>VLOOKUP($A43,'Fed Bs Rt+IME+GME+VBP+RAA+HAC'!$B$5:$AC$88,28,FALSE)</f>
        <v>0</v>
      </c>
      <c r="H43" s="175">
        <f t="shared" si="35"/>
        <v>-7.1447237174397742</v>
      </c>
      <c r="I43" s="175">
        <f>VLOOKUP($A43,'Fed Bs Rt+IME+GME+VBP+RAA+HAC'!$B$5:$AC$88,16,FALSE)</f>
        <v>0</v>
      </c>
      <c r="J43" s="175">
        <f t="shared" si="36"/>
        <v>0</v>
      </c>
      <c r="K43" s="175">
        <f t="shared" si="72"/>
        <v>0</v>
      </c>
      <c r="L43" s="294">
        <f>IF(OR(J43&gt;0,K43&gt;0,M43&gt;0),0,IF(VLOOKUP(A43,'Low Discharge'!A:C,3,FALSE)&lt;=L$3,L$1*C43,IF(VLOOKUP(A43,'Low Discharge'!A:C,3,FALSE)&gt;=L$2,0,(VLOOKUP(A43,'Low Discharge'!A:C,3,FALSE)-L$2)/(L$3-L$2)*L$1*C43)))</f>
        <v>0</v>
      </c>
      <c r="M43" s="170">
        <f>IF(VLOOKUP($A43,Characteristics!$A:$E,3,FALSE)=2,M$1*C43,0)</f>
        <v>0</v>
      </c>
      <c r="N43" s="170">
        <f>IF(VLOOKUP($A43,Characteristics!$A:$E,5,FALSE)&gt;=N$2,N$1*C43,IF(VLOOKUP($A43,Characteristics!$A:$E,5,FALSE)&lt;=N$3,0,(VLOOKUP($A43,Characteristics!$A:$E,5,FALSE)-N$3)/(N$2-N$3)*N$1*C43))</f>
        <v>0</v>
      </c>
      <c r="O43" s="170">
        <f>IF(VLOOKUP($A43,Characteristics!$A:$F,6,FALSE)&lt;=O$3,O$1*C43,IF(VLOOKUP($A43,Characteristics!$A:$F,6,FALSE)&gt;=O$2,0,(VLOOKUP($A43,Characteristics!$A:$F,6,FALSE)-O$2)/(O$3-O$2)*O$1*C43))</f>
        <v>0</v>
      </c>
      <c r="P43" s="175">
        <f t="shared" si="73"/>
        <v>6514.577545282561</v>
      </c>
      <c r="Q43" s="175"/>
      <c r="R43" s="85">
        <v>5300.69</v>
      </c>
      <c r="S43" s="86">
        <f t="shared" si="37"/>
        <v>5433.2072499999995</v>
      </c>
      <c r="T43" s="85">
        <f t="shared" si="74"/>
        <v>8861238.1535838991</v>
      </c>
      <c r="U43" s="88">
        <v>1217.2692</v>
      </c>
      <c r="V43" s="89">
        <v>1.3398355716878403</v>
      </c>
      <c r="W43" s="90">
        <f t="shared" si="75"/>
        <v>10624888.844197648</v>
      </c>
      <c r="X43" s="98" t="s">
        <v>5</v>
      </c>
      <c r="Y43" s="85">
        <f t="shared" si="38"/>
        <v>5433.2072499999995</v>
      </c>
      <c r="Z43" s="85">
        <f t="shared" si="39"/>
        <v>4889.8865249999999</v>
      </c>
      <c r="AA43" s="85">
        <f t="shared" si="40"/>
        <v>5976.527975</v>
      </c>
      <c r="AB43" s="230"/>
      <c r="AC43" s="99"/>
      <c r="AD43" s="85">
        <f t="shared" si="41"/>
        <v>5431.4230451067197</v>
      </c>
      <c r="AE43" s="85">
        <f t="shared" si="76"/>
        <v>8858328.2214302644</v>
      </c>
      <c r="AF43" s="92">
        <f t="shared" si="42"/>
        <v>0</v>
      </c>
      <c r="AG43" s="92">
        <f t="shared" si="43"/>
        <v>0</v>
      </c>
      <c r="AH43" s="85">
        <f t="shared" si="44"/>
        <v>5431.4230451067197</v>
      </c>
      <c r="AI43" s="85">
        <f t="shared" si="77"/>
        <v>8858328.2214302644</v>
      </c>
      <c r="AJ43" s="93">
        <f t="shared" si="78"/>
        <v>10624888.844197648</v>
      </c>
      <c r="AK43" s="93">
        <f t="shared" si="7"/>
        <v>8861238.1535838991</v>
      </c>
      <c r="AL43" s="94">
        <f t="shared" si="45"/>
        <v>0</v>
      </c>
      <c r="AM43" s="95"/>
      <c r="AN43" s="85">
        <f t="shared" si="46"/>
        <v>5414.8033578249951</v>
      </c>
      <c r="AO43" s="85">
        <f t="shared" si="79"/>
        <v>8831222.499107331</v>
      </c>
      <c r="AP43" s="92">
        <f t="shared" si="47"/>
        <v>0</v>
      </c>
      <c r="AQ43" s="92">
        <f t="shared" si="48"/>
        <v>0</v>
      </c>
      <c r="AR43" s="85">
        <f t="shared" si="49"/>
        <v>5414.8033578249951</v>
      </c>
      <c r="AS43" s="85">
        <f t="shared" si="80"/>
        <v>8831222.499107331</v>
      </c>
      <c r="AT43" s="93">
        <f t="shared" si="81"/>
        <v>10624888.844197648</v>
      </c>
      <c r="AU43" s="93">
        <f t="shared" si="11"/>
        <v>8861238.1535838991</v>
      </c>
      <c r="AV43" s="94">
        <f t="shared" si="12"/>
        <v>0</v>
      </c>
      <c r="AW43" s="92">
        <f t="shared" si="13"/>
        <v>0</v>
      </c>
      <c r="AX43" s="95"/>
      <c r="AY43" s="85">
        <f t="shared" si="50"/>
        <v>5424.3174938897146</v>
      </c>
      <c r="AZ43" s="85">
        <f t="shared" si="82"/>
        <v>8846739.489646405</v>
      </c>
      <c r="BA43" s="92">
        <f t="shared" si="51"/>
        <v>0</v>
      </c>
      <c r="BB43" s="92">
        <f t="shared" si="52"/>
        <v>0</v>
      </c>
      <c r="BC43" s="85">
        <f t="shared" si="53"/>
        <v>5424.3174938897146</v>
      </c>
      <c r="BD43" s="85">
        <f t="shared" si="83"/>
        <v>8846739.489646405</v>
      </c>
      <c r="BE43" s="96">
        <f t="shared" si="84"/>
        <v>10624888.844197648</v>
      </c>
      <c r="BF43" s="96">
        <f t="shared" si="17"/>
        <v>8861238.1535838991</v>
      </c>
      <c r="BG43" s="94">
        <f t="shared" si="18"/>
        <v>0</v>
      </c>
      <c r="BH43" s="92">
        <f t="shared" si="19"/>
        <v>0</v>
      </c>
      <c r="BI43" s="95"/>
      <c r="BJ43" s="85">
        <f t="shared" si="54"/>
        <v>5424.3174938897146</v>
      </c>
      <c r="BK43" s="85">
        <f t="shared" si="85"/>
        <v>8846739.489646405</v>
      </c>
      <c r="BL43" s="92">
        <f t="shared" si="55"/>
        <v>0</v>
      </c>
      <c r="BM43" s="92">
        <f t="shared" si="56"/>
        <v>0</v>
      </c>
      <c r="BN43" s="85">
        <f t="shared" si="57"/>
        <v>5424.3174938897146</v>
      </c>
      <c r="BO43" s="85">
        <f t="shared" si="86"/>
        <v>8846739.489646405</v>
      </c>
      <c r="BP43" s="93">
        <f t="shared" si="87"/>
        <v>10624888.844197648</v>
      </c>
      <c r="BQ43" s="93">
        <f t="shared" si="23"/>
        <v>8861238.1535838991</v>
      </c>
      <c r="BR43" s="94">
        <f t="shared" si="24"/>
        <v>0</v>
      </c>
      <c r="BS43" s="92">
        <f t="shared" si="25"/>
        <v>0</v>
      </c>
      <c r="BT43" s="95"/>
      <c r="BU43" s="85">
        <f t="shared" si="58"/>
        <v>5424.3174938897146</v>
      </c>
      <c r="BV43" s="85">
        <f t="shared" si="88"/>
        <v>8846739.489646405</v>
      </c>
      <c r="BW43" s="92">
        <f t="shared" si="59"/>
        <v>0</v>
      </c>
      <c r="BX43" s="92">
        <f t="shared" si="60"/>
        <v>0</v>
      </c>
      <c r="BY43" s="85">
        <f t="shared" si="61"/>
        <v>5424.3174938897146</v>
      </c>
      <c r="BZ43" s="85">
        <f t="shared" si="89"/>
        <v>8846739.489646405</v>
      </c>
      <c r="CA43" s="96">
        <f t="shared" si="90"/>
        <v>10624888.844197648</v>
      </c>
      <c r="CB43" s="96">
        <f t="shared" si="29"/>
        <v>8861238.1535838991</v>
      </c>
      <c r="CC43" s="94">
        <f t="shared" si="30"/>
        <v>0</v>
      </c>
      <c r="CD43" s="92">
        <f t="shared" si="31"/>
        <v>0</v>
      </c>
      <c r="CE43" s="66"/>
      <c r="CF43" s="85">
        <f t="shared" si="62"/>
        <v>5424.3174938897146</v>
      </c>
      <c r="CG43" s="85">
        <f t="shared" si="91"/>
        <v>8846739.489646405</v>
      </c>
      <c r="CH43" s="92">
        <f t="shared" si="63"/>
        <v>0</v>
      </c>
      <c r="CI43" s="92">
        <f t="shared" si="64"/>
        <v>0</v>
      </c>
      <c r="CJ43" s="85">
        <f t="shared" si="65"/>
        <v>5424.3174938897146</v>
      </c>
      <c r="CK43" s="85">
        <f t="shared" si="92"/>
        <v>8846739.489646405</v>
      </c>
      <c r="CL43" s="97">
        <f t="shared" si="34"/>
        <v>0.99836381060003099</v>
      </c>
      <c r="CM43" s="261"/>
      <c r="CN43" s="295">
        <f t="shared" si="66"/>
        <v>5532.8</v>
      </c>
      <c r="CP43" s="85">
        <f t="shared" si="67"/>
        <v>5532.8</v>
      </c>
      <c r="CQ43" s="85">
        <f t="shared" si="68"/>
        <v>4979.5200000000004</v>
      </c>
      <c r="CR43" s="85">
        <f t="shared" si="69"/>
        <v>6086.0800000000008</v>
      </c>
      <c r="CS43" s="295">
        <f t="shared" si="70"/>
        <v>5532.8038437675086</v>
      </c>
      <c r="CT43" s="295">
        <f t="shared" si="71"/>
        <v>5532.8038437675086</v>
      </c>
      <c r="CU43" s="303"/>
      <c r="CV43" s="303"/>
    </row>
    <row r="44" spans="1:100" s="153" customFormat="1" ht="15" customHeight="1" x14ac:dyDescent="0.3">
      <c r="A44" s="174">
        <v>60116</v>
      </c>
      <c r="B44" s="176" t="s">
        <v>270</v>
      </c>
      <c r="C44" s="175">
        <f>VLOOKUP($A44,'Fed Bs Rt+IME+GME+VBP+RAA+HAC'!$B$5:$AC$88,15,FALSE)</f>
        <v>6708.8630929999999</v>
      </c>
      <c r="D44" s="175">
        <f>VLOOKUP($A44,'Fed Bs Rt+IME+GME+VBP+RAA+HAC'!$B$5:$AC$88,21,FALSE)</f>
        <v>0</v>
      </c>
      <c r="E44" s="175">
        <f>VLOOKUP($A44,'Fed Bs Rt+IME+GME+VBP+RAA+HAC'!$B$5:$AC$88,25,FALSE)</f>
        <v>0</v>
      </c>
      <c r="F44" s="175">
        <f>VLOOKUP($A44,'Fed Bs Rt+IME+GME+VBP+RAA+HAC'!$B$5:$AC$88,23,FALSE)</f>
        <v>49.263501894880392</v>
      </c>
      <c r="G44" s="175">
        <f>VLOOKUP($A44,'Fed Bs Rt+IME+GME+VBP+RAA+HAC'!$B$5:$AC$88,28,FALSE)</f>
        <v>0</v>
      </c>
      <c r="H44" s="175">
        <f t="shared" si="35"/>
        <v>49.263501894880392</v>
      </c>
      <c r="I44" s="175">
        <f>VLOOKUP($A44,'Fed Bs Rt+IME+GME+VBP+RAA+HAC'!$B$5:$AC$88,16,FALSE)</f>
        <v>0</v>
      </c>
      <c r="J44" s="175">
        <f t="shared" si="36"/>
        <v>0</v>
      </c>
      <c r="K44" s="175">
        <f t="shared" si="72"/>
        <v>0</v>
      </c>
      <c r="L44" s="294">
        <f>IF(OR(J44&gt;0,K44&gt;0,M44&gt;0),0,IF(VLOOKUP(A44,'Low Discharge'!A:C,3,FALSE)&lt;=L$3,L$1*C44,IF(VLOOKUP(A44,'Low Discharge'!A:C,3,FALSE)&gt;=L$2,0,(VLOOKUP(A44,'Low Discharge'!A:C,3,FALSE)-L$2)/(L$3-L$2)*L$1*C44)))</f>
        <v>0</v>
      </c>
      <c r="M44" s="170">
        <f>IF(VLOOKUP($A44,Characteristics!$A:$E,3,FALSE)=2,M$1*C44,0)</f>
        <v>0</v>
      </c>
      <c r="N44" s="170">
        <f>IF(VLOOKUP($A44,Characteristics!$A:$E,5,FALSE)&gt;=N$2,N$1*C44,IF(VLOOKUP($A44,Characteristics!$A:$E,5,FALSE)&lt;=N$3,0,(VLOOKUP($A44,Characteristics!$A:$E,5,FALSE)-N$3)/(N$2-N$3)*N$1*C44))</f>
        <v>0</v>
      </c>
      <c r="O44" s="170">
        <f>IF(VLOOKUP($A44,Characteristics!$A:$F,6,FALSE)&lt;=O$3,O$1*C44,IF(VLOOKUP($A44,Characteristics!$A:$F,6,FALSE)&gt;=O$2,0,(VLOOKUP($A44,Characteristics!$A:$F,6,FALSE)-O$2)/(O$3-O$2)*O$1*C44))</f>
        <v>0</v>
      </c>
      <c r="P44" s="175">
        <f t="shared" si="73"/>
        <v>6758.1265948948803</v>
      </c>
      <c r="Q44" s="175"/>
      <c r="R44" s="85">
        <v>5364.66</v>
      </c>
      <c r="S44" s="86">
        <f t="shared" si="37"/>
        <v>5498.776499999999</v>
      </c>
      <c r="T44" s="85">
        <f t="shared" si="74"/>
        <v>9483448.9788054638</v>
      </c>
      <c r="U44" s="88">
        <v>1262.5577999999998</v>
      </c>
      <c r="V44" s="89">
        <v>1.3659945756780403</v>
      </c>
      <c r="W44" s="90">
        <f t="shared" si="75"/>
        <v>11655383.475759363</v>
      </c>
      <c r="X44" s="98" t="s">
        <v>5</v>
      </c>
      <c r="Y44" s="85">
        <f t="shared" si="38"/>
        <v>5498.776499999999</v>
      </c>
      <c r="Z44" s="85">
        <f t="shared" si="39"/>
        <v>4948.8988499999996</v>
      </c>
      <c r="AA44" s="85">
        <f t="shared" si="40"/>
        <v>6048.6541499999994</v>
      </c>
      <c r="AB44" s="230"/>
      <c r="AC44" s="101"/>
      <c r="AD44" s="85">
        <f t="shared" si="41"/>
        <v>5634.4781030108334</v>
      </c>
      <c r="AE44" s="85">
        <f t="shared" si="76"/>
        <v>9717486.355755657</v>
      </c>
      <c r="AF44" s="92">
        <f t="shared" si="42"/>
        <v>0</v>
      </c>
      <c r="AG44" s="92">
        <f t="shared" si="43"/>
        <v>0</v>
      </c>
      <c r="AH44" s="85">
        <f t="shared" si="44"/>
        <v>5634.4781030108334</v>
      </c>
      <c r="AI44" s="85">
        <f t="shared" si="77"/>
        <v>9717486.355755657</v>
      </c>
      <c r="AJ44" s="93">
        <f t="shared" si="78"/>
        <v>11655383.475759363</v>
      </c>
      <c r="AK44" s="93">
        <f t="shared" si="7"/>
        <v>9483448.9788054638</v>
      </c>
      <c r="AL44" s="94">
        <f t="shared" si="45"/>
        <v>0</v>
      </c>
      <c r="AM44" s="95"/>
      <c r="AN44" s="85">
        <f t="shared" si="46"/>
        <v>5617.2370847196635</v>
      </c>
      <c r="AO44" s="85">
        <f t="shared" si="79"/>
        <v>9687751.6834504697</v>
      </c>
      <c r="AP44" s="92">
        <f t="shared" si="47"/>
        <v>0</v>
      </c>
      <c r="AQ44" s="92">
        <f t="shared" si="48"/>
        <v>0</v>
      </c>
      <c r="AR44" s="85">
        <f t="shared" si="49"/>
        <v>5617.2370847196635</v>
      </c>
      <c r="AS44" s="85">
        <f t="shared" si="80"/>
        <v>9687751.6834504697</v>
      </c>
      <c r="AT44" s="93">
        <f t="shared" si="81"/>
        <v>11655383.475759363</v>
      </c>
      <c r="AU44" s="93">
        <f t="shared" si="11"/>
        <v>9483448.9788054638</v>
      </c>
      <c r="AV44" s="94">
        <f t="shared" si="12"/>
        <v>0</v>
      </c>
      <c r="AW44" s="92">
        <f t="shared" si="13"/>
        <v>0</v>
      </c>
      <c r="AX44" s="95"/>
      <c r="AY44" s="85">
        <f t="shared" si="50"/>
        <v>5627.1069090512492</v>
      </c>
      <c r="AZ44" s="85">
        <f t="shared" si="82"/>
        <v>9704773.6474234313</v>
      </c>
      <c r="BA44" s="92">
        <f t="shared" si="51"/>
        <v>0</v>
      </c>
      <c r="BB44" s="92">
        <f t="shared" si="52"/>
        <v>0</v>
      </c>
      <c r="BC44" s="85">
        <f t="shared" si="53"/>
        <v>5627.1069090512492</v>
      </c>
      <c r="BD44" s="85">
        <f t="shared" si="83"/>
        <v>9704773.6474234313</v>
      </c>
      <c r="BE44" s="96">
        <f t="shared" si="84"/>
        <v>11655383.475759363</v>
      </c>
      <c r="BF44" s="96">
        <f t="shared" si="17"/>
        <v>9483448.9788054638</v>
      </c>
      <c r="BG44" s="94">
        <f t="shared" si="18"/>
        <v>0</v>
      </c>
      <c r="BH44" s="92">
        <f t="shared" si="19"/>
        <v>0</v>
      </c>
      <c r="BI44" s="95"/>
      <c r="BJ44" s="85">
        <f t="shared" si="54"/>
        <v>5627.1069090512492</v>
      </c>
      <c r="BK44" s="85">
        <f t="shared" si="85"/>
        <v>9704773.6474234313</v>
      </c>
      <c r="BL44" s="92">
        <f t="shared" si="55"/>
        <v>0</v>
      </c>
      <c r="BM44" s="92">
        <f t="shared" si="56"/>
        <v>0</v>
      </c>
      <c r="BN44" s="85">
        <f t="shared" si="57"/>
        <v>5627.1069090512492</v>
      </c>
      <c r="BO44" s="85">
        <f t="shared" si="86"/>
        <v>9704773.6474234313</v>
      </c>
      <c r="BP44" s="93">
        <f t="shared" si="87"/>
        <v>11655383.475759363</v>
      </c>
      <c r="BQ44" s="93">
        <f t="shared" si="23"/>
        <v>9483448.9788054638</v>
      </c>
      <c r="BR44" s="94">
        <f t="shared" si="24"/>
        <v>0</v>
      </c>
      <c r="BS44" s="92">
        <f t="shared" si="25"/>
        <v>0</v>
      </c>
      <c r="BT44" s="95"/>
      <c r="BU44" s="85">
        <f t="shared" si="58"/>
        <v>5627.1069090512492</v>
      </c>
      <c r="BV44" s="85">
        <f t="shared" si="88"/>
        <v>9704773.6474234313</v>
      </c>
      <c r="BW44" s="92">
        <f t="shared" si="59"/>
        <v>0</v>
      </c>
      <c r="BX44" s="92">
        <f t="shared" si="60"/>
        <v>0</v>
      </c>
      <c r="BY44" s="85">
        <f t="shared" si="61"/>
        <v>5627.1069090512492</v>
      </c>
      <c r="BZ44" s="85">
        <f t="shared" si="89"/>
        <v>9704773.6474234313</v>
      </c>
      <c r="CA44" s="96">
        <f t="shared" si="90"/>
        <v>11655383.475759363</v>
      </c>
      <c r="CB44" s="96">
        <f t="shared" si="29"/>
        <v>9483448.9788054638</v>
      </c>
      <c r="CC44" s="94">
        <f t="shared" si="30"/>
        <v>0</v>
      </c>
      <c r="CD44" s="92">
        <f t="shared" si="31"/>
        <v>0</v>
      </c>
      <c r="CE44" s="66"/>
      <c r="CF44" s="85">
        <f t="shared" si="62"/>
        <v>5627.1069090512492</v>
      </c>
      <c r="CG44" s="85">
        <f t="shared" si="91"/>
        <v>9704773.6474234313</v>
      </c>
      <c r="CH44" s="92">
        <f t="shared" si="63"/>
        <v>0</v>
      </c>
      <c r="CI44" s="92">
        <f t="shared" si="64"/>
        <v>0</v>
      </c>
      <c r="CJ44" s="85">
        <f t="shared" si="65"/>
        <v>5627.1069090512492</v>
      </c>
      <c r="CK44" s="85">
        <f t="shared" si="92"/>
        <v>9704773.6474234313</v>
      </c>
      <c r="CL44" s="97">
        <f t="shared" si="34"/>
        <v>1.0233379932883706</v>
      </c>
      <c r="CM44" s="261"/>
      <c r="CN44" s="295">
        <f t="shared" si="66"/>
        <v>5739.65</v>
      </c>
      <c r="CP44" s="85">
        <f t="shared" si="67"/>
        <v>5739.65</v>
      </c>
      <c r="CQ44" s="85">
        <f t="shared" si="68"/>
        <v>5165.6849999999995</v>
      </c>
      <c r="CR44" s="85">
        <f t="shared" si="69"/>
        <v>6313.6149999999998</v>
      </c>
      <c r="CS44" s="295">
        <f t="shared" si="70"/>
        <v>5739.6490472322739</v>
      </c>
      <c r="CT44" s="295">
        <f t="shared" si="71"/>
        <v>5739.6490472322739</v>
      </c>
      <c r="CU44" s="303"/>
      <c r="CV44" s="303"/>
    </row>
    <row r="45" spans="1:100" s="153" customFormat="1" ht="15" customHeight="1" x14ac:dyDescent="0.3">
      <c r="A45" s="174">
        <v>60117</v>
      </c>
      <c r="B45" s="176" t="s">
        <v>270</v>
      </c>
      <c r="C45" s="175">
        <f>VLOOKUP($A45,'Fed Bs Rt+IME+GME+VBP+RAA+HAC'!$B$5:$AC$88,15,FALSE)</f>
        <v>6521.7222690000008</v>
      </c>
      <c r="D45" s="175">
        <f>VLOOKUP($A45,'Fed Bs Rt+IME+GME+VBP+RAA+HAC'!$B$5:$AC$88,21,FALSE)</f>
        <v>0</v>
      </c>
      <c r="E45" s="175">
        <f>VLOOKUP($A45,'Fed Bs Rt+IME+GME+VBP+RAA+HAC'!$B$5:$AC$88,25,FALSE)</f>
        <v>0</v>
      </c>
      <c r="F45" s="175">
        <f>VLOOKUP($A45,'Fed Bs Rt+IME+GME+VBP+RAA+HAC'!$B$5:$AC$88,23,FALSE)</f>
        <v>0</v>
      </c>
      <c r="G45" s="175">
        <f>VLOOKUP($A45,'Fed Bs Rt+IME+GME+VBP+RAA+HAC'!$B$5:$AC$88,28,FALSE)</f>
        <v>0</v>
      </c>
      <c r="H45" s="175">
        <f t="shared" si="35"/>
        <v>0</v>
      </c>
      <c r="I45" s="175">
        <f>VLOOKUP($A45,'Fed Bs Rt+IME+GME+VBP+RAA+HAC'!$B$5:$AC$88,16,FALSE)</f>
        <v>0</v>
      </c>
      <c r="J45" s="175">
        <f t="shared" si="36"/>
        <v>0</v>
      </c>
      <c r="K45" s="175">
        <f t="shared" si="72"/>
        <v>0</v>
      </c>
      <c r="L45" s="294">
        <f>IF(OR(J45&gt;0,K45&gt;0,M45&gt;0),0,IF(VLOOKUP(A45,'Low Discharge'!A:C,3,FALSE)&lt;=L$3,L$1*C45,IF(VLOOKUP(A45,'Low Discharge'!A:C,3,FALSE)&gt;=L$2,0,(VLOOKUP(A45,'Low Discharge'!A:C,3,FALSE)-L$2)/(L$3-L$2)*L$1*C45)))</f>
        <v>625.86794708170021</v>
      </c>
      <c r="M45" s="170">
        <f>IF(VLOOKUP($A45,Characteristics!$A:$E,3,FALSE)=2,M$1*C45,0)</f>
        <v>0</v>
      </c>
      <c r="N45" s="170">
        <f>IF(VLOOKUP($A45,Characteristics!$A:$E,5,FALSE)&gt;=N$2,N$1*C45,IF(VLOOKUP($A45,Characteristics!$A:$E,5,FALSE)&lt;=N$3,0,(VLOOKUP($A45,Characteristics!$A:$E,5,FALSE)-N$3)/(N$2-N$3)*N$1*C45))</f>
        <v>0</v>
      </c>
      <c r="O45" s="170">
        <f>IF(VLOOKUP($A45,Characteristics!$A:$F,6,FALSE)&lt;=O$3,O$1*C45,IF(VLOOKUP($A45,Characteristics!$A:$F,6,FALSE)&gt;=O$2,0,(VLOOKUP($A45,Characteristics!$A:$F,6,FALSE)-O$2)/(O$3-O$2)*O$1*C45))</f>
        <v>0</v>
      </c>
      <c r="P45" s="175">
        <f t="shared" si="73"/>
        <v>7147.5902160817013</v>
      </c>
      <c r="Q45" s="175"/>
      <c r="R45" s="85">
        <v>5264.29</v>
      </c>
      <c r="S45" s="86">
        <f t="shared" si="37"/>
        <v>5395.8972499999991</v>
      </c>
      <c r="T45" s="85">
        <f t="shared" si="74"/>
        <v>233944.52117099997</v>
      </c>
      <c r="U45" s="305">
        <v>30</v>
      </c>
      <c r="V45" s="89">
        <v>1.4452</v>
      </c>
      <c r="W45" s="90">
        <f t="shared" si="75"/>
        <v>309890.92140843824</v>
      </c>
      <c r="X45" s="98" t="s">
        <v>5</v>
      </c>
      <c r="Y45" s="85">
        <f t="shared" si="38"/>
        <v>5395.8972499999991</v>
      </c>
      <c r="Z45" s="85">
        <f t="shared" si="39"/>
        <v>4856.3075249999993</v>
      </c>
      <c r="AA45" s="85">
        <f t="shared" si="40"/>
        <v>5935.4869749999998</v>
      </c>
      <c r="AB45" s="230"/>
      <c r="AC45" s="100"/>
      <c r="AD45" s="85">
        <f t="shared" si="41"/>
        <v>5959.187061134543</v>
      </c>
      <c r="AE45" s="85">
        <f t="shared" si="76"/>
        <v>258366.51422254927</v>
      </c>
      <c r="AF45" s="92">
        <f t="shared" si="42"/>
        <v>0</v>
      </c>
      <c r="AG45" s="92">
        <f t="shared" si="43"/>
        <v>1</v>
      </c>
      <c r="AH45" s="85">
        <f t="shared" si="44"/>
        <v>5935.4869749999998</v>
      </c>
      <c r="AI45" s="85">
        <f t="shared" si="77"/>
        <v>257338.97328809998</v>
      </c>
      <c r="AJ45" s="93">
        <f t="shared" si="78"/>
        <v>309890.92140843824</v>
      </c>
      <c r="AK45" s="93">
        <f t="shared" si="7"/>
        <v>233944.52117099997</v>
      </c>
      <c r="AL45" s="94">
        <f t="shared" si="45"/>
        <v>0</v>
      </c>
      <c r="AM45" s="95"/>
      <c r="AN45" s="85">
        <f t="shared" si="46"/>
        <v>5940.9524613644917</v>
      </c>
      <c r="AO45" s="85">
        <f t="shared" si="79"/>
        <v>257575.93491491891</v>
      </c>
      <c r="AP45" s="92">
        <f t="shared" si="47"/>
        <v>0</v>
      </c>
      <c r="AQ45" s="92">
        <f t="shared" si="48"/>
        <v>1</v>
      </c>
      <c r="AR45" s="85">
        <f t="shared" si="49"/>
        <v>5935.4869749999998</v>
      </c>
      <c r="AS45" s="85">
        <f t="shared" si="80"/>
        <v>257338.97328809998</v>
      </c>
      <c r="AT45" s="93">
        <f t="shared" si="81"/>
        <v>0</v>
      </c>
      <c r="AU45" s="93">
        <f t="shared" si="11"/>
        <v>-23394.452117100009</v>
      </c>
      <c r="AV45" s="94">
        <f t="shared" si="12"/>
        <v>1</v>
      </c>
      <c r="AW45" s="92">
        <f t="shared" si="13"/>
        <v>1</v>
      </c>
      <c r="AX45" s="95"/>
      <c r="AY45" s="85">
        <f t="shared" si="50"/>
        <v>5935.4869749999998</v>
      </c>
      <c r="AZ45" s="85">
        <f t="shared" si="82"/>
        <v>257338.97328809998</v>
      </c>
      <c r="BA45" s="92">
        <f t="shared" si="51"/>
        <v>0</v>
      </c>
      <c r="BB45" s="92">
        <f t="shared" si="52"/>
        <v>1</v>
      </c>
      <c r="BC45" s="85">
        <f t="shared" si="53"/>
        <v>5935.4869749999998</v>
      </c>
      <c r="BD45" s="85">
        <f t="shared" si="83"/>
        <v>257338.97328809998</v>
      </c>
      <c r="BE45" s="96">
        <f t="shared" si="84"/>
        <v>0</v>
      </c>
      <c r="BF45" s="96">
        <f t="shared" si="17"/>
        <v>-23394.452117100009</v>
      </c>
      <c r="BG45" s="94">
        <f t="shared" si="18"/>
        <v>1</v>
      </c>
      <c r="BH45" s="92">
        <f t="shared" si="19"/>
        <v>0</v>
      </c>
      <c r="BI45" s="95"/>
      <c r="BJ45" s="85">
        <f t="shared" si="54"/>
        <v>5935.4869749999998</v>
      </c>
      <c r="BK45" s="85">
        <f t="shared" si="85"/>
        <v>257338.97328809998</v>
      </c>
      <c r="BL45" s="92">
        <f t="shared" si="55"/>
        <v>0</v>
      </c>
      <c r="BM45" s="92">
        <f t="shared" si="56"/>
        <v>1</v>
      </c>
      <c r="BN45" s="85">
        <f t="shared" si="57"/>
        <v>5935.4869749999998</v>
      </c>
      <c r="BO45" s="85">
        <f t="shared" si="86"/>
        <v>257338.97328809998</v>
      </c>
      <c r="BP45" s="93">
        <f t="shared" si="87"/>
        <v>0</v>
      </c>
      <c r="BQ45" s="93">
        <f t="shared" si="23"/>
        <v>-23394.452117100009</v>
      </c>
      <c r="BR45" s="94">
        <f t="shared" si="24"/>
        <v>1</v>
      </c>
      <c r="BS45" s="92">
        <f t="shared" si="25"/>
        <v>0</v>
      </c>
      <c r="BT45" s="95"/>
      <c r="BU45" s="85">
        <f t="shared" si="58"/>
        <v>5935.4869749999998</v>
      </c>
      <c r="BV45" s="85">
        <f t="shared" si="88"/>
        <v>257338.97328809998</v>
      </c>
      <c r="BW45" s="92">
        <f t="shared" si="59"/>
        <v>0</v>
      </c>
      <c r="BX45" s="92">
        <f t="shared" si="60"/>
        <v>1</v>
      </c>
      <c r="BY45" s="85">
        <f t="shared" si="61"/>
        <v>5935.4869749999998</v>
      </c>
      <c r="BZ45" s="85">
        <f t="shared" si="89"/>
        <v>257338.97328809998</v>
      </c>
      <c r="CA45" s="96">
        <f t="shared" si="90"/>
        <v>0</v>
      </c>
      <c r="CB45" s="96">
        <f t="shared" si="29"/>
        <v>-23394.452117100009</v>
      </c>
      <c r="CC45" s="94">
        <f t="shared" si="30"/>
        <v>1</v>
      </c>
      <c r="CD45" s="92">
        <f t="shared" si="31"/>
        <v>0</v>
      </c>
      <c r="CE45" s="66"/>
      <c r="CF45" s="85">
        <f t="shared" si="62"/>
        <v>5951.3910731360102</v>
      </c>
      <c r="CG45" s="85">
        <f t="shared" si="91"/>
        <v>258028.51136688486</v>
      </c>
      <c r="CH45" s="92">
        <f t="shared" si="63"/>
        <v>0</v>
      </c>
      <c r="CI45" s="92">
        <f t="shared" si="64"/>
        <v>1</v>
      </c>
      <c r="CJ45" s="85">
        <f t="shared" si="65"/>
        <v>5935.4869749999998</v>
      </c>
      <c r="CK45" s="85">
        <f t="shared" si="92"/>
        <v>257338.97328809998</v>
      </c>
      <c r="CL45" s="97">
        <f t="shared" si="34"/>
        <v>1.1000000000000001</v>
      </c>
      <c r="CM45" s="261"/>
      <c r="CN45" s="295">
        <f t="shared" si="66"/>
        <v>6054.2</v>
      </c>
      <c r="CP45" s="85">
        <f t="shared" si="67"/>
        <v>6054.2</v>
      </c>
      <c r="CQ45" s="85">
        <f t="shared" si="68"/>
        <v>5448.78</v>
      </c>
      <c r="CR45" s="85">
        <f t="shared" si="69"/>
        <v>6659.62</v>
      </c>
      <c r="CS45" s="295">
        <f t="shared" si="70"/>
        <v>6070.4188945987307</v>
      </c>
      <c r="CT45" s="295">
        <f t="shared" si="71"/>
        <v>6070.4188945987307</v>
      </c>
      <c r="CU45" s="303"/>
      <c r="CV45" s="303"/>
    </row>
    <row r="46" spans="1:100" s="153" customFormat="1" ht="15" customHeight="1" x14ac:dyDescent="0.3">
      <c r="A46" s="174">
        <v>60118</v>
      </c>
      <c r="B46" s="176" t="s">
        <v>270</v>
      </c>
      <c r="C46" s="175">
        <f>VLOOKUP($A46,'Fed Bs Rt+IME+GME+VBP+RAA+HAC'!$B$5:$AC$88,15,FALSE)</f>
        <v>6521.7222690000008</v>
      </c>
      <c r="D46" s="175">
        <f>VLOOKUP($A46,'Fed Bs Rt+IME+GME+VBP+RAA+HAC'!$B$5:$AC$88,21,FALSE)</f>
        <v>0</v>
      </c>
      <c r="E46" s="175">
        <f>VLOOKUP($A46,'Fed Bs Rt+IME+GME+VBP+RAA+HAC'!$B$5:$AC$88,25,FALSE)</f>
        <v>-30.879738100799841</v>
      </c>
      <c r="F46" s="175">
        <f>VLOOKUP($A46,'Fed Bs Rt+IME+GME+VBP+RAA+HAC'!$B$5:$AC$88,23,FALSE)</f>
        <v>0</v>
      </c>
      <c r="G46" s="175">
        <f>VLOOKUP($A46,'Fed Bs Rt+IME+GME+VBP+RAA+HAC'!$B$5:$AC$88,28,FALSE)</f>
        <v>0</v>
      </c>
      <c r="H46" s="175">
        <f t="shared" si="35"/>
        <v>-30.879738100799841</v>
      </c>
      <c r="I46" s="175">
        <f>VLOOKUP($A46,'Fed Bs Rt+IME+GME+VBP+RAA+HAC'!$B$5:$AC$88,16,FALSE)</f>
        <v>0</v>
      </c>
      <c r="J46" s="175">
        <f t="shared" si="36"/>
        <v>0</v>
      </c>
      <c r="K46" s="175">
        <f t="shared" si="72"/>
        <v>0</v>
      </c>
      <c r="L46" s="294">
        <f>IF(OR(J46&gt;0,K46&gt;0,M46&gt;0),0,IF(VLOOKUP(A46,'Low Discharge'!A:C,3,FALSE)&lt;=L$3,L$1*C46,IF(VLOOKUP(A46,'Low Discharge'!A:C,3,FALSE)&gt;=L$2,0,(VLOOKUP(A46,'Low Discharge'!A:C,3,FALSE)-L$2)/(L$3-L$2)*L$1*C46)))</f>
        <v>379.02075920005001</v>
      </c>
      <c r="M46" s="170">
        <f>IF(VLOOKUP($A46,Characteristics!$A:$E,3,FALSE)=2,M$1*C46,0)</f>
        <v>0</v>
      </c>
      <c r="N46" s="170">
        <f>IF(VLOOKUP($A46,Characteristics!$A:$E,5,FALSE)&gt;=N$2,N$1*C46,IF(VLOOKUP($A46,Characteristics!$A:$E,5,FALSE)&lt;=N$3,0,(VLOOKUP($A46,Characteristics!$A:$E,5,FALSE)-N$3)/(N$2-N$3)*N$1*C46))</f>
        <v>0</v>
      </c>
      <c r="O46" s="170">
        <f>IF(VLOOKUP($A46,Characteristics!$A:$F,6,FALSE)&lt;=O$3,O$1*C46,IF(VLOOKUP($A46,Characteristics!$A:$F,6,FALSE)&gt;=O$2,0,(VLOOKUP($A46,Characteristics!$A:$F,6,FALSE)-O$2)/(O$3-O$2)*O$1*C46))</f>
        <v>0</v>
      </c>
      <c r="P46" s="175">
        <f t="shared" si="73"/>
        <v>6869.8632900992507</v>
      </c>
      <c r="Q46" s="175"/>
      <c r="R46" s="85">
        <v>6418.23</v>
      </c>
      <c r="S46" s="86">
        <f t="shared" si="37"/>
        <v>6578.6857499999987</v>
      </c>
      <c r="T46" s="85">
        <f t="shared" si="74"/>
        <v>1331692.0441966567</v>
      </c>
      <c r="U46" s="88">
        <v>352.36740000000003</v>
      </c>
      <c r="V46" s="89">
        <v>0.57447210031347962</v>
      </c>
      <c r="W46" s="90">
        <f t="shared" si="75"/>
        <v>1390633.7277386812</v>
      </c>
      <c r="X46" s="92"/>
      <c r="Y46" s="85">
        <f t="shared" si="38"/>
        <v>6578.6857499999987</v>
      </c>
      <c r="Z46" s="85">
        <f t="shared" si="39"/>
        <v>5920.8171749999992</v>
      </c>
      <c r="AA46" s="85">
        <f t="shared" si="40"/>
        <v>7236.5543249999992</v>
      </c>
      <c r="AB46" s="230"/>
      <c r="AC46" s="101"/>
      <c r="AD46" s="85">
        <f t="shared" si="41"/>
        <v>5727.6367548341668</v>
      </c>
      <c r="AE46" s="85">
        <f t="shared" si="76"/>
        <v>1159418.2467920766</v>
      </c>
      <c r="AF46" s="92">
        <f t="shared" si="42"/>
        <v>1</v>
      </c>
      <c r="AG46" s="92">
        <f t="shared" si="43"/>
        <v>0</v>
      </c>
      <c r="AH46" s="85">
        <f t="shared" si="44"/>
        <v>5920.8171749999992</v>
      </c>
      <c r="AI46" s="85">
        <f t="shared" si="77"/>
        <v>1198522.8397769912</v>
      </c>
      <c r="AJ46" s="93">
        <f t="shared" si="78"/>
        <v>0</v>
      </c>
      <c r="AK46" s="93">
        <f t="shared" si="7"/>
        <v>133169.2044196655</v>
      </c>
      <c r="AL46" s="94">
        <f t="shared" si="45"/>
        <v>1</v>
      </c>
      <c r="AM46" s="95"/>
      <c r="AN46" s="85">
        <f t="shared" si="46"/>
        <v>5920.8171749999992</v>
      </c>
      <c r="AO46" s="85">
        <f t="shared" si="79"/>
        <v>1198522.8397769912</v>
      </c>
      <c r="AP46" s="92">
        <f t="shared" si="47"/>
        <v>1</v>
      </c>
      <c r="AQ46" s="92">
        <f t="shared" si="48"/>
        <v>0</v>
      </c>
      <c r="AR46" s="85">
        <f t="shared" si="49"/>
        <v>5920.8171749999992</v>
      </c>
      <c r="AS46" s="85">
        <f t="shared" si="80"/>
        <v>1198522.8397769912</v>
      </c>
      <c r="AT46" s="93">
        <f t="shared" si="81"/>
        <v>0</v>
      </c>
      <c r="AU46" s="93">
        <f t="shared" si="11"/>
        <v>133169.2044196655</v>
      </c>
      <c r="AV46" s="94">
        <f t="shared" si="12"/>
        <v>1</v>
      </c>
      <c r="AW46" s="92">
        <f t="shared" si="13"/>
        <v>0</v>
      </c>
      <c r="AX46" s="95"/>
      <c r="AY46" s="85">
        <f t="shared" si="50"/>
        <v>5920.8171749999992</v>
      </c>
      <c r="AZ46" s="85">
        <f t="shared" si="82"/>
        <v>1198522.8397769912</v>
      </c>
      <c r="BA46" s="92">
        <f t="shared" si="51"/>
        <v>1</v>
      </c>
      <c r="BB46" s="92">
        <f t="shared" si="52"/>
        <v>0</v>
      </c>
      <c r="BC46" s="85">
        <f t="shared" si="53"/>
        <v>5920.8171749999992</v>
      </c>
      <c r="BD46" s="85">
        <f t="shared" si="83"/>
        <v>1198522.8397769912</v>
      </c>
      <c r="BE46" s="96">
        <f t="shared" si="84"/>
        <v>0</v>
      </c>
      <c r="BF46" s="96">
        <f t="shared" si="17"/>
        <v>133169.2044196655</v>
      </c>
      <c r="BG46" s="94">
        <f t="shared" si="18"/>
        <v>1</v>
      </c>
      <c r="BH46" s="92">
        <f t="shared" si="19"/>
        <v>0</v>
      </c>
      <c r="BI46" s="95"/>
      <c r="BJ46" s="85">
        <f t="shared" si="54"/>
        <v>5920.8171749999992</v>
      </c>
      <c r="BK46" s="85">
        <f t="shared" si="85"/>
        <v>1198522.8397769912</v>
      </c>
      <c r="BL46" s="92">
        <f t="shared" si="55"/>
        <v>1</v>
      </c>
      <c r="BM46" s="92">
        <f t="shared" si="56"/>
        <v>0</v>
      </c>
      <c r="BN46" s="85">
        <f t="shared" si="57"/>
        <v>5920.8171749999992</v>
      </c>
      <c r="BO46" s="85">
        <f t="shared" si="86"/>
        <v>1198522.8397769912</v>
      </c>
      <c r="BP46" s="93">
        <f t="shared" si="87"/>
        <v>0</v>
      </c>
      <c r="BQ46" s="93">
        <f t="shared" si="23"/>
        <v>133169.2044196655</v>
      </c>
      <c r="BR46" s="94">
        <f t="shared" si="24"/>
        <v>1</v>
      </c>
      <c r="BS46" s="92">
        <f t="shared" si="25"/>
        <v>0</v>
      </c>
      <c r="BT46" s="95"/>
      <c r="BU46" s="85">
        <f t="shared" si="58"/>
        <v>5920.8171749999992</v>
      </c>
      <c r="BV46" s="85">
        <f t="shared" si="88"/>
        <v>1198522.8397769912</v>
      </c>
      <c r="BW46" s="92">
        <f t="shared" si="59"/>
        <v>1</v>
      </c>
      <c r="BX46" s="92">
        <f t="shared" si="60"/>
        <v>0</v>
      </c>
      <c r="BY46" s="85">
        <f t="shared" si="61"/>
        <v>5920.8171749999992</v>
      </c>
      <c r="BZ46" s="85">
        <f t="shared" si="89"/>
        <v>1198522.8397769912</v>
      </c>
      <c r="CA46" s="96">
        <f t="shared" si="90"/>
        <v>0</v>
      </c>
      <c r="CB46" s="96">
        <f t="shared" si="29"/>
        <v>133169.2044196655</v>
      </c>
      <c r="CC46" s="94">
        <f t="shared" si="30"/>
        <v>1</v>
      </c>
      <c r="CD46" s="92">
        <f t="shared" si="31"/>
        <v>0</v>
      </c>
      <c r="CE46" s="66"/>
      <c r="CF46" s="85">
        <f t="shared" si="62"/>
        <v>5720.1436879204157</v>
      </c>
      <c r="CG46" s="85">
        <f t="shared" si="91"/>
        <v>1157901.460921027</v>
      </c>
      <c r="CH46" s="92">
        <f t="shared" si="63"/>
        <v>1</v>
      </c>
      <c r="CI46" s="92">
        <f t="shared" si="64"/>
        <v>0</v>
      </c>
      <c r="CJ46" s="85">
        <f t="shared" si="65"/>
        <v>5920.8171749999992</v>
      </c>
      <c r="CK46" s="85">
        <f t="shared" si="92"/>
        <v>1198522.8397769912</v>
      </c>
      <c r="CL46" s="97">
        <f t="shared" si="34"/>
        <v>0.9</v>
      </c>
      <c r="CM46" s="261"/>
      <c r="CN46" s="295">
        <f t="shared" si="66"/>
        <v>6039.23</v>
      </c>
      <c r="CP46" s="85">
        <f t="shared" si="67"/>
        <v>6039.23</v>
      </c>
      <c r="CQ46" s="85">
        <f t="shared" si="68"/>
        <v>5435.3069999999998</v>
      </c>
      <c r="CR46" s="85">
        <f t="shared" si="69"/>
        <v>6643.1530000000002</v>
      </c>
      <c r="CS46" s="295">
        <f t="shared" si="70"/>
        <v>5834.5465616788242</v>
      </c>
      <c r="CT46" s="295">
        <f t="shared" si="71"/>
        <v>5834.5465616788242</v>
      </c>
      <c r="CU46" s="303"/>
      <c r="CV46" s="303"/>
    </row>
    <row r="47" spans="1:100" s="58" customFormat="1" ht="15" customHeight="1" x14ac:dyDescent="0.3">
      <c r="A47" s="176">
        <v>60119</v>
      </c>
      <c r="B47" s="176" t="s">
        <v>270</v>
      </c>
      <c r="C47" s="175">
        <f>VLOOKUP($A47,'Fed Bs Rt+IME+GME+VBP+RAA+HAC'!$B$5:$AC$88,15,FALSE)</f>
        <v>6521.7222690000008</v>
      </c>
      <c r="D47" s="175">
        <f>VLOOKUP($A47,'Fed Bs Rt+IME+GME+VBP+RAA+HAC'!$B$5:$AC$88,21,FALSE)</f>
        <v>0</v>
      </c>
      <c r="E47" s="175">
        <f>VLOOKUP($A47,'Fed Bs Rt+IME+GME+VBP+RAA+HAC'!$B$5:$AC$88,25,FALSE)</f>
        <v>0</v>
      </c>
      <c r="F47" s="175">
        <f>VLOOKUP($A47,'Fed Bs Rt+IME+GME+VBP+RAA+HAC'!$B$5:$AC$88,23,FALSE)</f>
        <v>12.896831795039361</v>
      </c>
      <c r="G47" s="175">
        <f>VLOOKUP($A47,'Fed Bs Rt+IME+GME+VBP+RAA+HAC'!$B$5:$AC$88,28,FALSE)</f>
        <v>-65.217222690000014</v>
      </c>
      <c r="H47" s="175">
        <f t="shared" si="35"/>
        <v>-52.320390894960653</v>
      </c>
      <c r="I47" s="175">
        <f>VLOOKUP($A47,'Fed Bs Rt+IME+GME+VBP+RAA+HAC'!$B$5:$AC$88,16,FALSE)</f>
        <v>0</v>
      </c>
      <c r="J47" s="175">
        <f t="shared" si="36"/>
        <v>0</v>
      </c>
      <c r="K47" s="175">
        <f t="shared" si="72"/>
        <v>0</v>
      </c>
      <c r="L47" s="294">
        <f>IF(OR(J47&gt;0,K47&gt;0,M47&gt;0),0,IF(VLOOKUP(A47,'Low Discharge'!A:C,3,FALSE)&lt;=L$3,L$1*C47,IF(VLOOKUP(A47,'Low Discharge'!A:C,3,FALSE)&gt;=L$2,0,(VLOOKUP(A47,'Low Discharge'!A:C,3,FALSE)-L$2)/(L$3-L$2)*L$1*C47)))</f>
        <v>0</v>
      </c>
      <c r="M47" s="170">
        <f>IF(VLOOKUP($A47,Characteristics!$A:$E,3,FALSE)=2,M$1*C47,0)</f>
        <v>0</v>
      </c>
      <c r="N47" s="170">
        <f>IF(VLOOKUP($A47,Characteristics!$A:$E,5,FALSE)&gt;=N$2,N$1*C47,IF(VLOOKUP($A47,Characteristics!$A:$E,5,FALSE)&lt;=N$3,0,(VLOOKUP($A47,Characteristics!$A:$E,5,FALSE)-N$3)/(N$2-N$3)*N$1*C47))</f>
        <v>0</v>
      </c>
      <c r="O47" s="170">
        <f>IF(VLOOKUP($A47,Characteristics!$A:$F,6,FALSE)&lt;=O$3,O$1*C47,IF(VLOOKUP($A47,Characteristics!$A:$F,6,FALSE)&gt;=O$2,0,(VLOOKUP($A47,Characteristics!$A:$F,6,FALSE)-O$2)/(O$3-O$2)*O$1*C47))</f>
        <v>0</v>
      </c>
      <c r="P47" s="175">
        <f t="shared" si="73"/>
        <v>6469.4018781050399</v>
      </c>
      <c r="Q47" s="175"/>
      <c r="R47" s="85">
        <v>5322.1</v>
      </c>
      <c r="S47" s="86">
        <f t="shared" si="37"/>
        <v>5455.1525000000001</v>
      </c>
      <c r="T47" s="85">
        <f t="shared" si="74"/>
        <v>12400134.293134356</v>
      </c>
      <c r="U47" s="88">
        <v>1157.6207999999999</v>
      </c>
      <c r="V47" s="89">
        <v>1.9636006679389315</v>
      </c>
      <c r="W47" s="90">
        <f t="shared" si="75"/>
        <v>14705629.601511251</v>
      </c>
      <c r="X47" s="98" t="s">
        <v>5</v>
      </c>
      <c r="Y47" s="85">
        <f t="shared" si="38"/>
        <v>5455.1525000000001</v>
      </c>
      <c r="Z47" s="85">
        <f t="shared" si="39"/>
        <v>4909.6372500000007</v>
      </c>
      <c r="AA47" s="85">
        <f t="shared" si="40"/>
        <v>6000.6677500000005</v>
      </c>
      <c r="AB47" s="230"/>
      <c r="AC47" s="101"/>
      <c r="AD47" s="85">
        <f t="shared" si="41"/>
        <v>5393.7585675438213</v>
      </c>
      <c r="AE47" s="85">
        <f t="shared" si="76"/>
        <v>12260579.439765869</v>
      </c>
      <c r="AF47" s="92">
        <f t="shared" si="42"/>
        <v>0</v>
      </c>
      <c r="AG47" s="92">
        <f t="shared" si="43"/>
        <v>0</v>
      </c>
      <c r="AH47" s="85">
        <f t="shared" si="44"/>
        <v>5393.7585675438213</v>
      </c>
      <c r="AI47" s="85">
        <f t="shared" si="77"/>
        <v>12260579.439765869</v>
      </c>
      <c r="AJ47" s="93">
        <f t="shared" si="78"/>
        <v>14705629.601511251</v>
      </c>
      <c r="AK47" s="93">
        <f t="shared" si="7"/>
        <v>12400134.293134356</v>
      </c>
      <c r="AL47" s="94">
        <f t="shared" si="45"/>
        <v>0</v>
      </c>
      <c r="AM47" s="95"/>
      <c r="AN47" s="85">
        <f t="shared" si="46"/>
        <v>5377.2541303233647</v>
      </c>
      <c r="AO47" s="85">
        <f t="shared" si="79"/>
        <v>12223063.121392317</v>
      </c>
      <c r="AP47" s="92">
        <f t="shared" si="47"/>
        <v>0</v>
      </c>
      <c r="AQ47" s="92">
        <f t="shared" si="48"/>
        <v>0</v>
      </c>
      <c r="AR47" s="85">
        <f t="shared" si="49"/>
        <v>5377.2541303233647</v>
      </c>
      <c r="AS47" s="85">
        <f t="shared" si="80"/>
        <v>12223063.121392317</v>
      </c>
      <c r="AT47" s="93">
        <f t="shared" si="81"/>
        <v>14705629.601511251</v>
      </c>
      <c r="AU47" s="93">
        <f t="shared" si="11"/>
        <v>12400134.293134356</v>
      </c>
      <c r="AV47" s="94">
        <f t="shared" si="12"/>
        <v>0</v>
      </c>
      <c r="AW47" s="92">
        <f t="shared" si="13"/>
        <v>0</v>
      </c>
      <c r="AX47" s="95"/>
      <c r="AY47" s="85">
        <f t="shared" si="50"/>
        <v>5386.7022901307819</v>
      </c>
      <c r="AZ47" s="85">
        <f t="shared" si="82"/>
        <v>12244539.780465547</v>
      </c>
      <c r="BA47" s="92">
        <f t="shared" si="51"/>
        <v>0</v>
      </c>
      <c r="BB47" s="92">
        <f t="shared" si="52"/>
        <v>0</v>
      </c>
      <c r="BC47" s="85">
        <f t="shared" si="53"/>
        <v>5386.7022901307819</v>
      </c>
      <c r="BD47" s="85">
        <f t="shared" si="83"/>
        <v>12244539.780465547</v>
      </c>
      <c r="BE47" s="96">
        <f t="shared" si="84"/>
        <v>14705629.601511251</v>
      </c>
      <c r="BF47" s="96">
        <f t="shared" si="17"/>
        <v>12400134.293134356</v>
      </c>
      <c r="BG47" s="94">
        <f t="shared" si="18"/>
        <v>0</v>
      </c>
      <c r="BH47" s="92">
        <f t="shared" si="19"/>
        <v>0</v>
      </c>
      <c r="BI47" s="95"/>
      <c r="BJ47" s="85">
        <f t="shared" si="54"/>
        <v>5386.7022901307819</v>
      </c>
      <c r="BK47" s="85">
        <f t="shared" si="85"/>
        <v>12244539.780465547</v>
      </c>
      <c r="BL47" s="92">
        <f t="shared" si="55"/>
        <v>0</v>
      </c>
      <c r="BM47" s="92">
        <f t="shared" si="56"/>
        <v>0</v>
      </c>
      <c r="BN47" s="85">
        <f t="shared" si="57"/>
        <v>5386.7022901307819</v>
      </c>
      <c r="BO47" s="85">
        <f t="shared" si="86"/>
        <v>12244539.780465547</v>
      </c>
      <c r="BP47" s="93">
        <f t="shared" si="87"/>
        <v>14705629.601511251</v>
      </c>
      <c r="BQ47" s="93">
        <f t="shared" si="23"/>
        <v>12400134.293134356</v>
      </c>
      <c r="BR47" s="94">
        <f t="shared" si="24"/>
        <v>0</v>
      </c>
      <c r="BS47" s="92">
        <f t="shared" si="25"/>
        <v>0</v>
      </c>
      <c r="BT47" s="95"/>
      <c r="BU47" s="85">
        <f t="shared" si="58"/>
        <v>5386.7022901307819</v>
      </c>
      <c r="BV47" s="85">
        <f t="shared" si="88"/>
        <v>12244539.780465547</v>
      </c>
      <c r="BW47" s="92">
        <f t="shared" si="59"/>
        <v>0</v>
      </c>
      <c r="BX47" s="92">
        <f t="shared" si="60"/>
        <v>0</v>
      </c>
      <c r="BY47" s="85">
        <f t="shared" si="61"/>
        <v>5386.7022901307819</v>
      </c>
      <c r="BZ47" s="85">
        <f t="shared" si="89"/>
        <v>12244539.780465547</v>
      </c>
      <c r="CA47" s="96">
        <f t="shared" si="90"/>
        <v>14705629.601511251</v>
      </c>
      <c r="CB47" s="96">
        <f t="shared" si="29"/>
        <v>12400134.293134356</v>
      </c>
      <c r="CC47" s="94">
        <f t="shared" si="30"/>
        <v>0</v>
      </c>
      <c r="CD47" s="92">
        <f t="shared" si="31"/>
        <v>0</v>
      </c>
      <c r="CE47" s="66"/>
      <c r="CF47" s="85">
        <f t="shared" si="62"/>
        <v>5386.7022901307819</v>
      </c>
      <c r="CG47" s="85">
        <f t="shared" si="91"/>
        <v>12244539.780465547</v>
      </c>
      <c r="CH47" s="92">
        <f t="shared" si="63"/>
        <v>0</v>
      </c>
      <c r="CI47" s="92">
        <f t="shared" si="64"/>
        <v>0</v>
      </c>
      <c r="CJ47" s="85">
        <f t="shared" si="65"/>
        <v>5386.7022901307819</v>
      </c>
      <c r="CK47" s="85">
        <f t="shared" si="92"/>
        <v>12244539.780465547</v>
      </c>
      <c r="CL47" s="97">
        <f t="shared" si="34"/>
        <v>0.98745219132385054</v>
      </c>
      <c r="CM47" s="261"/>
      <c r="CN47" s="295">
        <f t="shared" si="66"/>
        <v>5494.44</v>
      </c>
      <c r="CP47" s="85">
        <f t="shared" si="67"/>
        <v>5494.44</v>
      </c>
      <c r="CQ47" s="85">
        <f t="shared" si="68"/>
        <v>4944.9960000000001</v>
      </c>
      <c r="CR47" s="85">
        <f t="shared" si="69"/>
        <v>6043.884</v>
      </c>
      <c r="CS47" s="295">
        <f t="shared" si="70"/>
        <v>5494.4363359333975</v>
      </c>
      <c r="CT47" s="295">
        <f t="shared" si="71"/>
        <v>5494.4363359333975</v>
      </c>
      <c r="CU47" s="303"/>
      <c r="CV47" s="303"/>
    </row>
    <row r="48" spans="1:100" s="58" customFormat="1" ht="15" customHeight="1" x14ac:dyDescent="0.3">
      <c r="A48" s="176">
        <v>60124</v>
      </c>
      <c r="B48" s="176" t="s">
        <v>270</v>
      </c>
      <c r="C48" s="175">
        <f>VLOOKUP($A48,'Fed Bs Rt+IME+GME+VBP+RAA+HAC'!$B$5:$AC$88,15,FALSE)</f>
        <v>6521.7222690000008</v>
      </c>
      <c r="D48" s="175">
        <f>VLOOKUP($A48,'Fed Bs Rt+IME+GME+VBP+RAA+HAC'!$B$5:$AC$88,21,FALSE)</f>
        <v>0</v>
      </c>
      <c r="E48" s="175">
        <f>VLOOKUP($A48,'Fed Bs Rt+IME+GME+VBP+RAA+HAC'!$B$5:$AC$88,25,FALSE)</f>
        <v>0</v>
      </c>
      <c r="F48" s="175">
        <f>VLOOKUP($A48,'Fed Bs Rt+IME+GME+VBP+RAA+HAC'!$B$5:$AC$88,23,FALSE)</f>
        <v>0</v>
      </c>
      <c r="G48" s="175">
        <f>VLOOKUP($A48,'Fed Bs Rt+IME+GME+VBP+RAA+HAC'!$B$5:$AC$88,28,FALSE)</f>
        <v>0</v>
      </c>
      <c r="H48" s="175">
        <f t="shared" si="35"/>
        <v>0</v>
      </c>
      <c r="I48" s="175">
        <f>VLOOKUP($A48,'Fed Bs Rt+IME+GME+VBP+RAA+HAC'!$B$5:$AC$88,16,FALSE)</f>
        <v>0</v>
      </c>
      <c r="J48" s="175">
        <f t="shared" si="36"/>
        <v>0</v>
      </c>
      <c r="K48" s="175">
        <f t="shared" si="72"/>
        <v>0</v>
      </c>
      <c r="L48" s="294">
        <f>IF(OR(J48&gt;0,K48&gt;0,M48&gt;0),0,IF(VLOOKUP(A48,'Low Discharge'!A:C,3,FALSE)&lt;=L$3,L$1*C48,IF(VLOOKUP(A48,'Low Discharge'!A:C,3,FALSE)&gt;=L$2,0,(VLOOKUP(A48,'Low Discharge'!A:C,3,FALSE)-L$2)/(L$3-L$2)*L$1*C48)))</f>
        <v>0</v>
      </c>
      <c r="M48" s="170">
        <f>IF(VLOOKUP($A48,Characteristics!$A:$E,3,FALSE)=2,M$1*C48,0)</f>
        <v>0</v>
      </c>
      <c r="N48" s="170">
        <f>IF(VLOOKUP($A48,Characteristics!$A:$E,5,FALSE)&gt;=N$2,N$1*C48,IF(VLOOKUP($A48,Characteristics!$A:$E,5,FALSE)&lt;=N$3,0,(VLOOKUP($A48,Characteristics!$A:$E,5,FALSE)-N$3)/(N$2-N$3)*N$1*C48))</f>
        <v>0</v>
      </c>
      <c r="O48" s="170">
        <f>IF(VLOOKUP($A48,Characteristics!$A:$F,6,FALSE)&lt;=O$3,O$1*C48,IF(VLOOKUP($A48,Characteristics!$A:$F,6,FALSE)&gt;=O$2,0,(VLOOKUP($A48,Characteristics!$A:$F,6,FALSE)-O$2)/(O$3-O$2)*O$1*C48))</f>
        <v>0</v>
      </c>
      <c r="P48" s="175">
        <f t="shared" si="73"/>
        <v>6521.7222690000008</v>
      </c>
      <c r="Q48" s="175"/>
      <c r="R48" s="85">
        <v>5480.61</v>
      </c>
      <c r="S48" s="86">
        <f t="shared" si="37"/>
        <v>5617.6252499999991</v>
      </c>
      <c r="T48" s="85">
        <f t="shared" si="74"/>
        <v>335625.02056124998</v>
      </c>
      <c r="U48" s="305">
        <v>30</v>
      </c>
      <c r="V48" s="89">
        <v>1.9915</v>
      </c>
      <c r="W48" s="90">
        <f t="shared" si="75"/>
        <v>389640.29696140502</v>
      </c>
      <c r="X48" s="98" t="s">
        <v>5</v>
      </c>
      <c r="Y48" s="85">
        <f t="shared" si="38"/>
        <v>5617.6252499999991</v>
      </c>
      <c r="Z48" s="85">
        <f t="shared" si="39"/>
        <v>5055.862724999999</v>
      </c>
      <c r="AA48" s="85">
        <f t="shared" si="40"/>
        <v>6179.3877749999992</v>
      </c>
      <c r="AB48" s="230"/>
      <c r="AC48" s="101"/>
      <c r="AD48" s="85">
        <f t="shared" si="41"/>
        <v>5437.3798422712453</v>
      </c>
      <c r="AE48" s="85">
        <f t="shared" si="76"/>
        <v>324856.25867649558</v>
      </c>
      <c r="AF48" s="92">
        <f t="shared" si="42"/>
        <v>0</v>
      </c>
      <c r="AG48" s="92">
        <f t="shared" si="43"/>
        <v>0</v>
      </c>
      <c r="AH48" s="85">
        <f t="shared" si="44"/>
        <v>5437.3798422712453</v>
      </c>
      <c r="AI48" s="85">
        <f t="shared" si="77"/>
        <v>324856.25867649558</v>
      </c>
      <c r="AJ48" s="93">
        <f t="shared" si="78"/>
        <v>389640.29696140502</v>
      </c>
      <c r="AK48" s="93">
        <f t="shared" si="7"/>
        <v>335625.02056124998</v>
      </c>
      <c r="AL48" s="94">
        <f t="shared" si="45"/>
        <v>0</v>
      </c>
      <c r="AM48" s="95"/>
      <c r="AN48" s="85">
        <f t="shared" si="46"/>
        <v>5420.7419277026283</v>
      </c>
      <c r="AO48" s="85">
        <f t="shared" si="79"/>
        <v>323862.22647059354</v>
      </c>
      <c r="AP48" s="92">
        <f t="shared" si="47"/>
        <v>0</v>
      </c>
      <c r="AQ48" s="92">
        <f t="shared" si="48"/>
        <v>0</v>
      </c>
      <c r="AR48" s="85">
        <f t="shared" si="49"/>
        <v>5420.7419277026283</v>
      </c>
      <c r="AS48" s="85">
        <f t="shared" si="80"/>
        <v>323862.22647059354</v>
      </c>
      <c r="AT48" s="93">
        <f t="shared" si="81"/>
        <v>389640.29696140502</v>
      </c>
      <c r="AU48" s="93">
        <f t="shared" si="11"/>
        <v>335625.02056124998</v>
      </c>
      <c r="AV48" s="94">
        <f t="shared" si="12"/>
        <v>0</v>
      </c>
      <c r="AW48" s="92">
        <f t="shared" si="13"/>
        <v>0</v>
      </c>
      <c r="AX48" s="95"/>
      <c r="AY48" s="85">
        <f t="shared" si="50"/>
        <v>5430.2664981927765</v>
      </c>
      <c r="AZ48" s="85">
        <f t="shared" si="82"/>
        <v>324431.27193452744</v>
      </c>
      <c r="BA48" s="92">
        <f t="shared" si="51"/>
        <v>0</v>
      </c>
      <c r="BB48" s="92">
        <f t="shared" si="52"/>
        <v>0</v>
      </c>
      <c r="BC48" s="85">
        <f t="shared" si="53"/>
        <v>5430.2664981927765</v>
      </c>
      <c r="BD48" s="85">
        <f t="shared" si="83"/>
        <v>324431.27193452744</v>
      </c>
      <c r="BE48" s="96">
        <f t="shared" si="84"/>
        <v>389640.29696140502</v>
      </c>
      <c r="BF48" s="96">
        <f t="shared" si="17"/>
        <v>335625.02056124998</v>
      </c>
      <c r="BG48" s="94">
        <f t="shared" si="18"/>
        <v>0</v>
      </c>
      <c r="BH48" s="92">
        <f t="shared" si="19"/>
        <v>0</v>
      </c>
      <c r="BI48" s="95"/>
      <c r="BJ48" s="85">
        <f t="shared" si="54"/>
        <v>5430.2664981927765</v>
      </c>
      <c r="BK48" s="85">
        <f t="shared" si="85"/>
        <v>324431.27193452744</v>
      </c>
      <c r="BL48" s="92">
        <f t="shared" si="55"/>
        <v>0</v>
      </c>
      <c r="BM48" s="92">
        <f t="shared" si="56"/>
        <v>0</v>
      </c>
      <c r="BN48" s="85">
        <f t="shared" si="57"/>
        <v>5430.2664981927765</v>
      </c>
      <c r="BO48" s="85">
        <f t="shared" si="86"/>
        <v>324431.27193452744</v>
      </c>
      <c r="BP48" s="93">
        <f t="shared" si="87"/>
        <v>389640.29696140502</v>
      </c>
      <c r="BQ48" s="93">
        <f t="shared" si="23"/>
        <v>335625.02056124998</v>
      </c>
      <c r="BR48" s="94">
        <f t="shared" si="24"/>
        <v>0</v>
      </c>
      <c r="BS48" s="92">
        <f t="shared" si="25"/>
        <v>0</v>
      </c>
      <c r="BT48" s="95"/>
      <c r="BU48" s="85">
        <f t="shared" si="58"/>
        <v>5430.2664981927765</v>
      </c>
      <c r="BV48" s="85">
        <f t="shared" si="88"/>
        <v>324431.27193452744</v>
      </c>
      <c r="BW48" s="92">
        <f t="shared" si="59"/>
        <v>0</v>
      </c>
      <c r="BX48" s="92">
        <f t="shared" si="60"/>
        <v>0</v>
      </c>
      <c r="BY48" s="85">
        <f t="shared" si="61"/>
        <v>5430.2664981927765</v>
      </c>
      <c r="BZ48" s="85">
        <f t="shared" si="89"/>
        <v>324431.27193452744</v>
      </c>
      <c r="CA48" s="96">
        <f t="shared" si="90"/>
        <v>389640.29696140502</v>
      </c>
      <c r="CB48" s="96">
        <f t="shared" si="29"/>
        <v>335625.02056124998</v>
      </c>
      <c r="CC48" s="94">
        <f t="shared" si="30"/>
        <v>0</v>
      </c>
      <c r="CD48" s="92">
        <f t="shared" si="31"/>
        <v>0</v>
      </c>
      <c r="CE48" s="66"/>
      <c r="CF48" s="85">
        <f t="shared" si="62"/>
        <v>5430.2664981927765</v>
      </c>
      <c r="CG48" s="85">
        <f t="shared" si="91"/>
        <v>324431.27193452744</v>
      </c>
      <c r="CH48" s="92">
        <f t="shared" si="63"/>
        <v>0</v>
      </c>
      <c r="CI48" s="92">
        <f t="shared" si="64"/>
        <v>0</v>
      </c>
      <c r="CJ48" s="85">
        <f t="shared" si="65"/>
        <v>5430.2664981927765</v>
      </c>
      <c r="CK48" s="85">
        <f t="shared" si="92"/>
        <v>324431.27193452744</v>
      </c>
      <c r="CL48" s="97">
        <f t="shared" si="34"/>
        <v>0.96664805082766558</v>
      </c>
      <c r="CM48" s="261"/>
      <c r="CN48" s="295">
        <f t="shared" si="66"/>
        <v>5538.87</v>
      </c>
      <c r="CP48" s="85">
        <f t="shared" si="67"/>
        <v>5538.87</v>
      </c>
      <c r="CQ48" s="85">
        <f t="shared" si="68"/>
        <v>4984.9830000000002</v>
      </c>
      <c r="CR48" s="85">
        <f t="shared" si="69"/>
        <v>6092.7570000000005</v>
      </c>
      <c r="CS48" s="295">
        <f t="shared" si="70"/>
        <v>5538.8718281566316</v>
      </c>
      <c r="CT48" s="295">
        <f t="shared" si="71"/>
        <v>5538.8718281566316</v>
      </c>
      <c r="CU48" s="303"/>
      <c r="CV48" s="303"/>
    </row>
    <row r="49" spans="1:100" s="153" customFormat="1" ht="15" customHeight="1" x14ac:dyDescent="0.3">
      <c r="A49" s="174">
        <v>60125</v>
      </c>
      <c r="B49" s="176" t="s">
        <v>270</v>
      </c>
      <c r="C49" s="175">
        <f>VLOOKUP($A49,'Fed Bs Rt+IME+GME+VBP+RAA+HAC'!$B$5:$AC$88,15,FALSE)</f>
        <v>6521.7222690000008</v>
      </c>
      <c r="D49" s="175">
        <f>VLOOKUP($A49,'Fed Bs Rt+IME+GME+VBP+RAA+HAC'!$B$5:$AC$88,21,FALSE)</f>
        <v>0</v>
      </c>
      <c r="E49" s="175">
        <f>VLOOKUP($A49,'Fed Bs Rt+IME+GME+VBP+RAA+HAC'!$B$5:$AC$88,25,FALSE)</f>
        <v>-55.704625593600213</v>
      </c>
      <c r="F49" s="175">
        <f>VLOOKUP($A49,'Fed Bs Rt+IME+GME+VBP+RAA+HAC'!$B$5:$AC$88,23,FALSE)</f>
        <v>71.205043150080201</v>
      </c>
      <c r="G49" s="175">
        <f>VLOOKUP($A49,'Fed Bs Rt+IME+GME+VBP+RAA+HAC'!$B$5:$AC$88,28,FALSE)</f>
        <v>0</v>
      </c>
      <c r="H49" s="175">
        <f t="shared" si="35"/>
        <v>15.500417556479988</v>
      </c>
      <c r="I49" s="175">
        <f>VLOOKUP($A49,'Fed Bs Rt+IME+GME+VBP+RAA+HAC'!$B$5:$AC$88,16,FALSE)</f>
        <v>0</v>
      </c>
      <c r="J49" s="175">
        <f t="shared" si="36"/>
        <v>0</v>
      </c>
      <c r="K49" s="175">
        <f t="shared" si="72"/>
        <v>0</v>
      </c>
      <c r="L49" s="294">
        <f>IF(OR(J49&gt;0,K49&gt;0,M49&gt;0),0,IF(VLOOKUP(A49,'Low Discharge'!A:C,3,FALSE)&lt;=L$3,L$1*C49,IF(VLOOKUP(A49,'Low Discharge'!A:C,3,FALSE)&gt;=L$2,0,(VLOOKUP(A49,'Low Discharge'!A:C,3,FALSE)-L$2)/(L$3-L$2)*L$1*C49)))</f>
        <v>0</v>
      </c>
      <c r="M49" s="170">
        <f>IF(VLOOKUP($A49,Characteristics!$A:$E,3,FALSE)=2,M$1*C49,0)</f>
        <v>0</v>
      </c>
      <c r="N49" s="170">
        <f>IF(VLOOKUP($A49,Characteristics!$A:$E,5,FALSE)&gt;=N$2,N$1*C49,IF(VLOOKUP($A49,Characteristics!$A:$E,5,FALSE)&lt;=N$3,0,(VLOOKUP($A49,Characteristics!$A:$E,5,FALSE)-N$3)/(N$2-N$3)*N$1*C49))</f>
        <v>0</v>
      </c>
      <c r="O49" s="170">
        <f>IF(VLOOKUP($A49,Characteristics!$A:$F,6,FALSE)&lt;=O$3,O$1*C49,IF(VLOOKUP($A49,Characteristics!$A:$F,6,FALSE)&gt;=O$2,0,(VLOOKUP($A49,Characteristics!$A:$F,6,FALSE)-O$2)/(O$3-O$2)*O$1*C49))</f>
        <v>0</v>
      </c>
      <c r="P49" s="175">
        <f t="shared" si="73"/>
        <v>6537.2226865564808</v>
      </c>
      <c r="Q49" s="175"/>
      <c r="R49" s="85">
        <v>5418.77</v>
      </c>
      <c r="S49" s="86">
        <f t="shared" si="37"/>
        <v>5554.2392499999996</v>
      </c>
      <c r="T49" s="85">
        <f t="shared" si="74"/>
        <v>3371820.8582921471</v>
      </c>
      <c r="U49" s="88">
        <v>574.39200000000005</v>
      </c>
      <c r="V49" s="89">
        <v>1.0568942307692308</v>
      </c>
      <c r="W49" s="90">
        <f t="shared" si="75"/>
        <v>3968562.1770491381</v>
      </c>
      <c r="X49" s="104"/>
      <c r="Y49" s="85">
        <f t="shared" si="38"/>
        <v>5554.2392499999996</v>
      </c>
      <c r="Z49" s="85">
        <f t="shared" si="39"/>
        <v>4998.8153249999996</v>
      </c>
      <c r="AA49" s="85">
        <f t="shared" si="40"/>
        <v>6109.6631749999997</v>
      </c>
      <c r="AB49" s="230"/>
      <c r="AC49" s="102"/>
      <c r="AD49" s="85">
        <f t="shared" si="41"/>
        <v>5450.3030632383525</v>
      </c>
      <c r="AE49" s="85">
        <f t="shared" si="76"/>
        <v>3308724.1520322808</v>
      </c>
      <c r="AF49" s="92">
        <f t="shared" si="42"/>
        <v>0</v>
      </c>
      <c r="AG49" s="92">
        <f t="shared" si="43"/>
        <v>0</v>
      </c>
      <c r="AH49" s="85">
        <f t="shared" si="44"/>
        <v>5450.3030632383525</v>
      </c>
      <c r="AI49" s="85">
        <f t="shared" si="77"/>
        <v>3308724.1520322808</v>
      </c>
      <c r="AJ49" s="93">
        <f t="shared" si="78"/>
        <v>3968562.1770491381</v>
      </c>
      <c r="AK49" s="93">
        <f t="shared" si="7"/>
        <v>3371820.8582921471</v>
      </c>
      <c r="AL49" s="94">
        <f t="shared" si="45"/>
        <v>0</v>
      </c>
      <c r="AM49" s="95"/>
      <c r="AN49" s="85">
        <f t="shared" si="46"/>
        <v>5433.6256047252928</v>
      </c>
      <c r="AO49" s="85">
        <f t="shared" si="79"/>
        <v>3298599.740758921</v>
      </c>
      <c r="AP49" s="92">
        <f t="shared" si="47"/>
        <v>0</v>
      </c>
      <c r="AQ49" s="92">
        <f t="shared" si="48"/>
        <v>0</v>
      </c>
      <c r="AR49" s="85">
        <f t="shared" si="49"/>
        <v>5433.6256047252928</v>
      </c>
      <c r="AS49" s="85">
        <f t="shared" si="80"/>
        <v>3298599.740758921</v>
      </c>
      <c r="AT49" s="93">
        <f t="shared" si="81"/>
        <v>3968562.1770491381</v>
      </c>
      <c r="AU49" s="93">
        <f t="shared" si="11"/>
        <v>3371820.8582921471</v>
      </c>
      <c r="AV49" s="94">
        <f t="shared" si="12"/>
        <v>0</v>
      </c>
      <c r="AW49" s="92">
        <f t="shared" si="13"/>
        <v>0</v>
      </c>
      <c r="AX49" s="95"/>
      <c r="AY49" s="85">
        <f t="shared" si="50"/>
        <v>5443.1728126129792</v>
      </c>
      <c r="AZ49" s="85">
        <f t="shared" si="82"/>
        <v>3304395.5794409066</v>
      </c>
      <c r="BA49" s="92">
        <f t="shared" si="51"/>
        <v>0</v>
      </c>
      <c r="BB49" s="92">
        <f t="shared" si="52"/>
        <v>0</v>
      </c>
      <c r="BC49" s="85">
        <f t="shared" si="53"/>
        <v>5443.1728126129792</v>
      </c>
      <c r="BD49" s="85">
        <f t="shared" si="83"/>
        <v>3304395.5794409066</v>
      </c>
      <c r="BE49" s="96">
        <f t="shared" si="84"/>
        <v>3968562.1770491381</v>
      </c>
      <c r="BF49" s="96">
        <f t="shared" si="17"/>
        <v>3371820.8582921471</v>
      </c>
      <c r="BG49" s="94">
        <f t="shared" si="18"/>
        <v>0</v>
      </c>
      <c r="BH49" s="92">
        <f t="shared" si="19"/>
        <v>0</v>
      </c>
      <c r="BI49" s="95"/>
      <c r="BJ49" s="85">
        <f t="shared" si="54"/>
        <v>5443.1728126129792</v>
      </c>
      <c r="BK49" s="85">
        <f t="shared" si="85"/>
        <v>3304395.5794409066</v>
      </c>
      <c r="BL49" s="92">
        <f t="shared" si="55"/>
        <v>0</v>
      </c>
      <c r="BM49" s="92">
        <f t="shared" si="56"/>
        <v>0</v>
      </c>
      <c r="BN49" s="85">
        <f t="shared" si="57"/>
        <v>5443.1728126129792</v>
      </c>
      <c r="BO49" s="85">
        <f t="shared" si="86"/>
        <v>3304395.5794409066</v>
      </c>
      <c r="BP49" s="93">
        <f t="shared" si="87"/>
        <v>3968562.1770491381</v>
      </c>
      <c r="BQ49" s="93">
        <f t="shared" si="23"/>
        <v>3371820.8582921471</v>
      </c>
      <c r="BR49" s="94">
        <f t="shared" si="24"/>
        <v>0</v>
      </c>
      <c r="BS49" s="92">
        <f t="shared" si="25"/>
        <v>0</v>
      </c>
      <c r="BT49" s="95"/>
      <c r="BU49" s="85">
        <f t="shared" si="58"/>
        <v>5443.1728126129792</v>
      </c>
      <c r="BV49" s="85">
        <f t="shared" si="88"/>
        <v>3304395.5794409066</v>
      </c>
      <c r="BW49" s="92">
        <f t="shared" si="59"/>
        <v>0</v>
      </c>
      <c r="BX49" s="92">
        <f t="shared" si="60"/>
        <v>0</v>
      </c>
      <c r="BY49" s="85">
        <f t="shared" si="61"/>
        <v>5443.1728126129792</v>
      </c>
      <c r="BZ49" s="85">
        <f t="shared" si="89"/>
        <v>3304395.5794409066</v>
      </c>
      <c r="CA49" s="96">
        <f t="shared" si="90"/>
        <v>3968562.1770491381</v>
      </c>
      <c r="CB49" s="96">
        <f t="shared" si="29"/>
        <v>3371820.8582921471</v>
      </c>
      <c r="CC49" s="94">
        <f t="shared" si="30"/>
        <v>0</v>
      </c>
      <c r="CD49" s="92">
        <f t="shared" si="31"/>
        <v>0</v>
      </c>
      <c r="CE49" s="66"/>
      <c r="CF49" s="85">
        <f t="shared" si="62"/>
        <v>5443.1728126129792</v>
      </c>
      <c r="CG49" s="85">
        <f t="shared" si="91"/>
        <v>3304395.5794409066</v>
      </c>
      <c r="CH49" s="92">
        <f t="shared" si="63"/>
        <v>0</v>
      </c>
      <c r="CI49" s="92">
        <f t="shared" si="64"/>
        <v>0</v>
      </c>
      <c r="CJ49" s="85">
        <f t="shared" si="65"/>
        <v>5443.1728126129792</v>
      </c>
      <c r="CK49" s="85">
        <f t="shared" si="92"/>
        <v>3304395.5794409066</v>
      </c>
      <c r="CL49" s="97">
        <f t="shared" si="34"/>
        <v>0.98000330335301622</v>
      </c>
      <c r="CM49" s="261"/>
      <c r="CN49" s="295">
        <f t="shared" si="66"/>
        <v>5552.04</v>
      </c>
      <c r="CP49" s="85">
        <f t="shared" si="67"/>
        <v>5552.04</v>
      </c>
      <c r="CQ49" s="85">
        <f t="shared" si="68"/>
        <v>4996.8360000000002</v>
      </c>
      <c r="CR49" s="85">
        <f t="shared" si="69"/>
        <v>6107.2440000000006</v>
      </c>
      <c r="CS49" s="295">
        <f t="shared" si="70"/>
        <v>5552.0362688652385</v>
      </c>
      <c r="CT49" s="295">
        <f t="shared" si="71"/>
        <v>5552.0362688652385</v>
      </c>
      <c r="CU49" s="303"/>
      <c r="CV49" s="303"/>
    </row>
    <row r="50" spans="1:100" s="153" customFormat="1" ht="15" customHeight="1" x14ac:dyDescent="0.3">
      <c r="A50" s="174">
        <v>60126</v>
      </c>
      <c r="B50" s="176" t="s">
        <v>270</v>
      </c>
      <c r="C50" s="175">
        <f>VLOOKUP($A50,'Fed Bs Rt+IME+GME+VBP+RAA+HAC'!$B$5:$AC$88,15,FALSE)</f>
        <v>6521.7222690000008</v>
      </c>
      <c r="D50" s="175">
        <f>VLOOKUP($A50,'Fed Bs Rt+IME+GME+VBP+RAA+HAC'!$B$5:$AC$88,21,FALSE)</f>
        <v>0</v>
      </c>
      <c r="E50" s="175">
        <f>VLOOKUP($A50,'Fed Bs Rt+IME+GME+VBP+RAA+HAC'!$B$5:$AC$88,25,FALSE)</f>
        <v>-15.742611580800258</v>
      </c>
      <c r="F50" s="175">
        <f>VLOOKUP($A50,'Fed Bs Rt+IME+GME+VBP+RAA+HAC'!$B$5:$AC$88,23,FALSE)</f>
        <v>0</v>
      </c>
      <c r="G50" s="175">
        <f>VLOOKUP($A50,'Fed Bs Rt+IME+GME+VBP+RAA+HAC'!$B$5:$AC$88,28,FALSE)</f>
        <v>0</v>
      </c>
      <c r="H50" s="175">
        <f t="shared" si="35"/>
        <v>-15.742611580800258</v>
      </c>
      <c r="I50" s="175">
        <f>VLOOKUP($A50,'Fed Bs Rt+IME+GME+VBP+RAA+HAC'!$B$5:$AC$88,16,FALSE)</f>
        <v>0</v>
      </c>
      <c r="J50" s="175">
        <f t="shared" si="36"/>
        <v>0</v>
      </c>
      <c r="K50" s="175">
        <f t="shared" si="72"/>
        <v>0</v>
      </c>
      <c r="L50" s="294">
        <f>IF(OR(J50&gt;0,K50&gt;0,M50&gt;0),0,IF(VLOOKUP(A50,'Low Discharge'!A:C,3,FALSE)&lt;=L$3,L$1*C50,IF(VLOOKUP(A50,'Low Discharge'!A:C,3,FALSE)&gt;=L$2,0,(VLOOKUP(A50,'Low Discharge'!A:C,3,FALSE)-L$2)/(L$3-L$2)*L$1*C50)))</f>
        <v>429.4554114136501</v>
      </c>
      <c r="M50" s="170">
        <f>IF(VLOOKUP($A50,Characteristics!$A:$E,3,FALSE)=2,M$1*C50,0)</f>
        <v>0</v>
      </c>
      <c r="N50" s="170">
        <f>IF(VLOOKUP($A50,Characteristics!$A:$E,5,FALSE)&gt;=N$2,N$1*C50,IF(VLOOKUP($A50,Characteristics!$A:$E,5,FALSE)&lt;=N$3,0,(VLOOKUP($A50,Characteristics!$A:$E,5,FALSE)-N$3)/(N$2-N$3)*N$1*C50))</f>
        <v>0</v>
      </c>
      <c r="O50" s="170">
        <f>IF(VLOOKUP($A50,Characteristics!$A:$F,6,FALSE)&lt;=O$3,O$1*C50,IF(VLOOKUP($A50,Characteristics!$A:$F,6,FALSE)&gt;=O$2,0,(VLOOKUP($A50,Characteristics!$A:$F,6,FALSE)-O$2)/(O$3-O$2)*O$1*C50))</f>
        <v>0</v>
      </c>
      <c r="P50" s="175">
        <f t="shared" si="73"/>
        <v>6935.4350688328504</v>
      </c>
      <c r="Q50" s="175"/>
      <c r="R50" s="85">
        <v>5377.63</v>
      </c>
      <c r="S50" s="86">
        <f t="shared" si="37"/>
        <v>5512.0707499999999</v>
      </c>
      <c r="T50" s="85">
        <f t="shared" si="74"/>
        <v>1562368.8899855418</v>
      </c>
      <c r="U50" s="88">
        <v>450.67680000000001</v>
      </c>
      <c r="V50" s="89">
        <v>0.62893186274509805</v>
      </c>
      <c r="W50" s="90">
        <f t="shared" si="75"/>
        <v>1965814.3883692315</v>
      </c>
      <c r="X50" s="98" t="s">
        <v>5</v>
      </c>
      <c r="Y50" s="85">
        <f t="shared" si="38"/>
        <v>5512.0707499999999</v>
      </c>
      <c r="Z50" s="85">
        <f t="shared" si="39"/>
        <v>4960.8636749999996</v>
      </c>
      <c r="AA50" s="85">
        <f t="shared" si="40"/>
        <v>6063.2778250000001</v>
      </c>
      <c r="AB50" s="230"/>
      <c r="AC50" s="101"/>
      <c r="AD50" s="85">
        <f t="shared" si="41"/>
        <v>5782.3061585900887</v>
      </c>
      <c r="AE50" s="85">
        <f t="shared" si="76"/>
        <v>1638965.7651895995</v>
      </c>
      <c r="AF50" s="92">
        <f t="shared" si="42"/>
        <v>0</v>
      </c>
      <c r="AG50" s="92">
        <f t="shared" si="43"/>
        <v>0</v>
      </c>
      <c r="AH50" s="85">
        <f t="shared" si="44"/>
        <v>5782.3061585900887</v>
      </c>
      <c r="AI50" s="85">
        <f t="shared" si="77"/>
        <v>1638965.7651895995</v>
      </c>
      <c r="AJ50" s="93">
        <f t="shared" si="78"/>
        <v>1965814.3883692315</v>
      </c>
      <c r="AK50" s="93">
        <f t="shared" si="7"/>
        <v>1562368.8899855418</v>
      </c>
      <c r="AL50" s="94">
        <f t="shared" si="45"/>
        <v>0</v>
      </c>
      <c r="AM50" s="95"/>
      <c r="AN50" s="85">
        <f t="shared" si="46"/>
        <v>5764.612799165704</v>
      </c>
      <c r="AO50" s="85">
        <f t="shared" si="79"/>
        <v>1633950.6709395864</v>
      </c>
      <c r="AP50" s="92">
        <f t="shared" si="47"/>
        <v>0</v>
      </c>
      <c r="AQ50" s="92">
        <f t="shared" si="48"/>
        <v>0</v>
      </c>
      <c r="AR50" s="85">
        <f t="shared" si="49"/>
        <v>5764.612799165704</v>
      </c>
      <c r="AS50" s="85">
        <f t="shared" si="80"/>
        <v>1633950.6709395864</v>
      </c>
      <c r="AT50" s="93">
        <f t="shared" si="81"/>
        <v>1965814.3883692315</v>
      </c>
      <c r="AU50" s="93">
        <f t="shared" si="11"/>
        <v>1562368.8899855418</v>
      </c>
      <c r="AV50" s="94">
        <f t="shared" si="12"/>
        <v>0</v>
      </c>
      <c r="AW50" s="92">
        <f t="shared" si="13"/>
        <v>0</v>
      </c>
      <c r="AX50" s="95"/>
      <c r="AY50" s="85">
        <f t="shared" si="50"/>
        <v>5774.7415715157522</v>
      </c>
      <c r="AZ50" s="85">
        <f t="shared" si="82"/>
        <v>1636821.620811458</v>
      </c>
      <c r="BA50" s="92">
        <f t="shared" si="51"/>
        <v>0</v>
      </c>
      <c r="BB50" s="92">
        <f t="shared" si="52"/>
        <v>0</v>
      </c>
      <c r="BC50" s="85">
        <f t="shared" si="53"/>
        <v>5774.7415715157522</v>
      </c>
      <c r="BD50" s="85">
        <f t="shared" si="83"/>
        <v>1636821.620811458</v>
      </c>
      <c r="BE50" s="96">
        <f t="shared" si="84"/>
        <v>1965814.3883692315</v>
      </c>
      <c r="BF50" s="96">
        <f t="shared" si="17"/>
        <v>1562368.8899855418</v>
      </c>
      <c r="BG50" s="94">
        <f t="shared" si="18"/>
        <v>0</v>
      </c>
      <c r="BH50" s="92">
        <f t="shared" si="19"/>
        <v>0</v>
      </c>
      <c r="BI50" s="95"/>
      <c r="BJ50" s="85">
        <f t="shared" si="54"/>
        <v>5774.7415715157522</v>
      </c>
      <c r="BK50" s="85">
        <f t="shared" si="85"/>
        <v>1636821.620811458</v>
      </c>
      <c r="BL50" s="92">
        <f t="shared" si="55"/>
        <v>0</v>
      </c>
      <c r="BM50" s="92">
        <f t="shared" si="56"/>
        <v>0</v>
      </c>
      <c r="BN50" s="85">
        <f t="shared" si="57"/>
        <v>5774.7415715157522</v>
      </c>
      <c r="BO50" s="85">
        <f t="shared" si="86"/>
        <v>1636821.620811458</v>
      </c>
      <c r="BP50" s="93">
        <f t="shared" si="87"/>
        <v>1965814.3883692315</v>
      </c>
      <c r="BQ50" s="93">
        <f t="shared" si="23"/>
        <v>1562368.8899855418</v>
      </c>
      <c r="BR50" s="94">
        <f t="shared" si="24"/>
        <v>0</v>
      </c>
      <c r="BS50" s="92">
        <f t="shared" si="25"/>
        <v>0</v>
      </c>
      <c r="BT50" s="95"/>
      <c r="BU50" s="85">
        <f t="shared" si="58"/>
        <v>5774.7415715157522</v>
      </c>
      <c r="BV50" s="85">
        <f t="shared" si="88"/>
        <v>1636821.620811458</v>
      </c>
      <c r="BW50" s="92">
        <f t="shared" si="59"/>
        <v>0</v>
      </c>
      <c r="BX50" s="92">
        <f t="shared" si="60"/>
        <v>0</v>
      </c>
      <c r="BY50" s="85">
        <f t="shared" si="61"/>
        <v>5774.7415715157522</v>
      </c>
      <c r="BZ50" s="85">
        <f t="shared" si="89"/>
        <v>1636821.620811458</v>
      </c>
      <c r="CA50" s="96">
        <f t="shared" si="90"/>
        <v>1965814.3883692315</v>
      </c>
      <c r="CB50" s="96">
        <f t="shared" si="29"/>
        <v>1562368.8899855418</v>
      </c>
      <c r="CC50" s="94">
        <f t="shared" si="30"/>
        <v>0</v>
      </c>
      <c r="CD50" s="92">
        <f t="shared" si="31"/>
        <v>0</v>
      </c>
      <c r="CE50" s="66"/>
      <c r="CF50" s="85">
        <f t="shared" si="62"/>
        <v>5774.7415715157522</v>
      </c>
      <c r="CG50" s="85">
        <f t="shared" si="91"/>
        <v>1636821.620811458</v>
      </c>
      <c r="CH50" s="92">
        <f t="shared" si="63"/>
        <v>0</v>
      </c>
      <c r="CI50" s="92">
        <f t="shared" si="64"/>
        <v>0</v>
      </c>
      <c r="CJ50" s="85">
        <f t="shared" si="65"/>
        <v>5774.7415715157522</v>
      </c>
      <c r="CK50" s="85">
        <f t="shared" si="92"/>
        <v>1636821.620811458</v>
      </c>
      <c r="CL50" s="97">
        <f t="shared" si="34"/>
        <v>1.047653746373947</v>
      </c>
      <c r="CM50" s="261"/>
      <c r="CN50" s="295">
        <f t="shared" si="66"/>
        <v>5890.24</v>
      </c>
      <c r="CP50" s="85">
        <f t="shared" si="67"/>
        <v>5890.24</v>
      </c>
      <c r="CQ50" s="85">
        <f t="shared" si="68"/>
        <v>5301.2160000000003</v>
      </c>
      <c r="CR50" s="85">
        <f t="shared" si="69"/>
        <v>6479.2640000000001</v>
      </c>
      <c r="CS50" s="295">
        <f t="shared" si="70"/>
        <v>5890.2364029460678</v>
      </c>
      <c r="CT50" s="295">
        <f t="shared" si="71"/>
        <v>5890.2364029460678</v>
      </c>
      <c r="CU50" s="303"/>
      <c r="CV50" s="303"/>
    </row>
    <row r="51" spans="1:100" s="153" customFormat="1" ht="15" customHeight="1" x14ac:dyDescent="0.3">
      <c r="A51" s="174">
        <v>60128</v>
      </c>
      <c r="B51" s="176" t="s">
        <v>270</v>
      </c>
      <c r="C51" s="175">
        <f>VLOOKUP($A51,'Fed Bs Rt+IME+GME+VBP+RAA+HAC'!$B$5:$AC$88,15,FALSE)</f>
        <v>6708.8630929999999</v>
      </c>
      <c r="D51" s="175">
        <f>VLOOKUP($A51,'Fed Bs Rt+IME+GME+VBP+RAA+HAC'!$B$5:$AC$88,21,FALSE)</f>
        <v>0</v>
      </c>
      <c r="E51" s="175">
        <f>VLOOKUP($A51,'Fed Bs Rt+IME+GME+VBP+RAA+HAC'!$B$5:$AC$88,25,FALSE)</f>
        <v>-6.2280027679998966</v>
      </c>
      <c r="F51" s="175">
        <f>VLOOKUP($A51,'Fed Bs Rt+IME+GME+VBP+RAA+HAC'!$B$5:$AC$88,23,FALSE)</f>
        <v>46.585460704639445</v>
      </c>
      <c r="G51" s="175">
        <f>VLOOKUP($A51,'Fed Bs Rt+IME+GME+VBP+RAA+HAC'!$B$5:$AC$88,28,FALSE)</f>
        <v>0</v>
      </c>
      <c r="H51" s="175">
        <f t="shared" si="35"/>
        <v>40.357457936639548</v>
      </c>
      <c r="I51" s="175">
        <f>VLOOKUP($A51,'Fed Bs Rt+IME+GME+VBP+RAA+HAC'!$B$5:$AC$88,16,FALSE)</f>
        <v>0</v>
      </c>
      <c r="J51" s="175">
        <f t="shared" si="36"/>
        <v>0</v>
      </c>
      <c r="K51" s="175">
        <f t="shared" si="72"/>
        <v>0</v>
      </c>
      <c r="L51" s="294">
        <f>IF(OR(J51&gt;0,K51&gt;0,M51&gt;0),0,IF(VLOOKUP(A51,'Low Discharge'!A:C,3,FALSE)&lt;=L$3,L$1*C51,IF(VLOOKUP(A51,'Low Discharge'!A:C,3,FALSE)&gt;=L$2,0,(VLOOKUP(A51,'Low Discharge'!A:C,3,FALSE)-L$2)/(L$3-L$2)*L$1*C51)))</f>
        <v>189.52538237724997</v>
      </c>
      <c r="M51" s="170">
        <f>IF(VLOOKUP($A51,Characteristics!$A:$E,3,FALSE)=2,M$1*C51,0)</f>
        <v>0</v>
      </c>
      <c r="N51" s="170">
        <f>IF(VLOOKUP($A51,Characteristics!$A:$E,5,FALSE)&gt;=N$2,N$1*C51,IF(VLOOKUP($A51,Characteristics!$A:$E,5,FALSE)&lt;=N$3,0,(VLOOKUP($A51,Characteristics!$A:$E,5,FALSE)-N$3)/(N$2-N$3)*N$1*C51))</f>
        <v>0</v>
      </c>
      <c r="O51" s="170">
        <f>IF(VLOOKUP($A51,Characteristics!$A:$F,6,FALSE)&lt;=O$3,O$1*C51,IF(VLOOKUP($A51,Characteristics!$A:$F,6,FALSE)&gt;=O$2,0,(VLOOKUP($A51,Characteristics!$A:$F,6,FALSE)-O$2)/(O$3-O$2)*O$1*C51))</f>
        <v>0</v>
      </c>
      <c r="P51" s="175">
        <f t="shared" si="73"/>
        <v>6938.7459333138895</v>
      </c>
      <c r="Q51" s="175"/>
      <c r="R51" s="85">
        <v>5480.61</v>
      </c>
      <c r="S51" s="86">
        <f t="shared" si="37"/>
        <v>5617.6252499999991</v>
      </c>
      <c r="T51" s="85">
        <f t="shared" si="74"/>
        <v>6123878.9214343075</v>
      </c>
      <c r="U51" s="88">
        <v>966.52499999999998</v>
      </c>
      <c r="V51" s="89">
        <v>1.1278744000000001</v>
      </c>
      <c r="W51" s="90">
        <f t="shared" si="75"/>
        <v>7564057.4212758243</v>
      </c>
      <c r="X51" s="98" t="s">
        <v>5</v>
      </c>
      <c r="Y51" s="85">
        <f t="shared" si="38"/>
        <v>5617.6252499999991</v>
      </c>
      <c r="Z51" s="85">
        <f t="shared" si="39"/>
        <v>5055.862724999999</v>
      </c>
      <c r="AA51" s="85">
        <f t="shared" si="40"/>
        <v>6179.3877749999992</v>
      </c>
      <c r="AB51" s="230"/>
      <c r="AC51" s="101"/>
      <c r="AD51" s="85">
        <f t="shared" si="41"/>
        <v>5785.0665379879147</v>
      </c>
      <c r="AE51" s="85">
        <f t="shared" si="76"/>
        <v>6306409.8181129368</v>
      </c>
      <c r="AF51" s="92">
        <f t="shared" si="42"/>
        <v>0</v>
      </c>
      <c r="AG51" s="92">
        <f t="shared" si="43"/>
        <v>0</v>
      </c>
      <c r="AH51" s="85">
        <f t="shared" si="44"/>
        <v>5785.0665379879147</v>
      </c>
      <c r="AI51" s="85">
        <f t="shared" si="77"/>
        <v>6306409.8181129368</v>
      </c>
      <c r="AJ51" s="93">
        <f t="shared" si="78"/>
        <v>7564057.4212758243</v>
      </c>
      <c r="AK51" s="93">
        <f t="shared" si="7"/>
        <v>6123878.9214343075</v>
      </c>
      <c r="AL51" s="94">
        <f t="shared" si="45"/>
        <v>0</v>
      </c>
      <c r="AM51" s="95"/>
      <c r="AN51" s="85">
        <f t="shared" si="46"/>
        <v>5767.3647320400332</v>
      </c>
      <c r="AO51" s="85">
        <f t="shared" si="79"/>
        <v>6287112.7465762496</v>
      </c>
      <c r="AP51" s="92">
        <f t="shared" si="47"/>
        <v>0</v>
      </c>
      <c r="AQ51" s="92">
        <f t="shared" si="48"/>
        <v>0</v>
      </c>
      <c r="AR51" s="85">
        <f t="shared" si="49"/>
        <v>5767.3647320400332</v>
      </c>
      <c r="AS51" s="85">
        <f t="shared" si="80"/>
        <v>6287112.7465762496</v>
      </c>
      <c r="AT51" s="93">
        <f t="shared" si="81"/>
        <v>7564057.4212758243</v>
      </c>
      <c r="AU51" s="93">
        <f t="shared" si="11"/>
        <v>6123878.9214343075</v>
      </c>
      <c r="AV51" s="94">
        <f t="shared" si="12"/>
        <v>0</v>
      </c>
      <c r="AW51" s="92">
        <f t="shared" si="13"/>
        <v>0</v>
      </c>
      <c r="AX51" s="95"/>
      <c r="AY51" s="85">
        <f t="shared" si="50"/>
        <v>5777.4983397021097</v>
      </c>
      <c r="AZ51" s="85">
        <f t="shared" si="82"/>
        <v>6298159.5828456981</v>
      </c>
      <c r="BA51" s="92">
        <f t="shared" si="51"/>
        <v>0</v>
      </c>
      <c r="BB51" s="92">
        <f t="shared" si="52"/>
        <v>0</v>
      </c>
      <c r="BC51" s="85">
        <f t="shared" si="53"/>
        <v>5777.4983397021097</v>
      </c>
      <c r="BD51" s="85">
        <f t="shared" si="83"/>
        <v>6298159.5828456981</v>
      </c>
      <c r="BE51" s="96">
        <f t="shared" si="84"/>
        <v>7564057.4212758243</v>
      </c>
      <c r="BF51" s="96">
        <f t="shared" si="17"/>
        <v>6123878.9214343075</v>
      </c>
      <c r="BG51" s="94">
        <f t="shared" si="18"/>
        <v>0</v>
      </c>
      <c r="BH51" s="92">
        <f t="shared" si="19"/>
        <v>0</v>
      </c>
      <c r="BI51" s="95"/>
      <c r="BJ51" s="85">
        <f t="shared" si="54"/>
        <v>5777.4983397021097</v>
      </c>
      <c r="BK51" s="85">
        <f t="shared" si="85"/>
        <v>6298159.5828456981</v>
      </c>
      <c r="BL51" s="92">
        <f t="shared" si="55"/>
        <v>0</v>
      </c>
      <c r="BM51" s="92">
        <f t="shared" si="56"/>
        <v>0</v>
      </c>
      <c r="BN51" s="85">
        <f t="shared" si="57"/>
        <v>5777.4983397021097</v>
      </c>
      <c r="BO51" s="85">
        <f t="shared" si="86"/>
        <v>6298159.5828456981</v>
      </c>
      <c r="BP51" s="93">
        <f t="shared" si="87"/>
        <v>7564057.4212758243</v>
      </c>
      <c r="BQ51" s="93">
        <f t="shared" si="23"/>
        <v>6123878.9214343075</v>
      </c>
      <c r="BR51" s="94">
        <f t="shared" si="24"/>
        <v>0</v>
      </c>
      <c r="BS51" s="92">
        <f t="shared" si="25"/>
        <v>0</v>
      </c>
      <c r="BT51" s="95"/>
      <c r="BU51" s="85">
        <f t="shared" si="58"/>
        <v>5777.4983397021097</v>
      </c>
      <c r="BV51" s="85">
        <f t="shared" si="88"/>
        <v>6298159.5828456981</v>
      </c>
      <c r="BW51" s="92">
        <f t="shared" si="59"/>
        <v>0</v>
      </c>
      <c r="BX51" s="92">
        <f t="shared" si="60"/>
        <v>0</v>
      </c>
      <c r="BY51" s="85">
        <f t="shared" si="61"/>
        <v>5777.4983397021097</v>
      </c>
      <c r="BZ51" s="85">
        <f t="shared" si="89"/>
        <v>6298159.5828456981</v>
      </c>
      <c r="CA51" s="96">
        <f t="shared" si="90"/>
        <v>7564057.4212758243</v>
      </c>
      <c r="CB51" s="96">
        <f t="shared" si="29"/>
        <v>6123878.9214343075</v>
      </c>
      <c r="CC51" s="94">
        <f t="shared" si="30"/>
        <v>0</v>
      </c>
      <c r="CD51" s="92">
        <f t="shared" si="31"/>
        <v>0</v>
      </c>
      <c r="CE51" s="66"/>
      <c r="CF51" s="85">
        <f t="shared" si="62"/>
        <v>5777.4983397021097</v>
      </c>
      <c r="CG51" s="85">
        <f t="shared" si="91"/>
        <v>6298159.5828456981</v>
      </c>
      <c r="CH51" s="92">
        <f t="shared" si="63"/>
        <v>0</v>
      </c>
      <c r="CI51" s="92">
        <f t="shared" si="64"/>
        <v>0</v>
      </c>
      <c r="CJ51" s="85">
        <f t="shared" si="65"/>
        <v>5777.4983397021097</v>
      </c>
      <c r="CK51" s="85">
        <f t="shared" si="92"/>
        <v>6298159.5828456981</v>
      </c>
      <c r="CL51" s="97">
        <f t="shared" si="34"/>
        <v>1.0284591945149972</v>
      </c>
      <c r="CM51" s="261"/>
      <c r="CN51" s="295">
        <f t="shared" si="66"/>
        <v>5893.05</v>
      </c>
      <c r="CP51" s="85">
        <f t="shared" si="67"/>
        <v>5893.05</v>
      </c>
      <c r="CQ51" s="85">
        <f t="shared" si="68"/>
        <v>5303.7449999999999</v>
      </c>
      <c r="CR51" s="85">
        <f t="shared" si="69"/>
        <v>6482.3550000000005</v>
      </c>
      <c r="CS51" s="295">
        <f t="shared" si="70"/>
        <v>5893.0483064961518</v>
      </c>
      <c r="CT51" s="295">
        <f t="shared" si="71"/>
        <v>5893.0483064961518</v>
      </c>
      <c r="CU51" s="303"/>
      <c r="CV51" s="303"/>
    </row>
    <row r="52" spans="1:100" s="153" customFormat="1" ht="15" customHeight="1" x14ac:dyDescent="0.3">
      <c r="A52" s="174">
        <v>60129</v>
      </c>
      <c r="B52" s="176" t="s">
        <v>270</v>
      </c>
      <c r="C52" s="175">
        <f>VLOOKUP($A52,'Fed Bs Rt+IME+GME+VBP+RAA+HAC'!$B$5:$AC$88,15,FALSE)</f>
        <v>6521.7222690000008</v>
      </c>
      <c r="D52" s="175">
        <f>VLOOKUP($A52,'Fed Bs Rt+IME+GME+VBP+RAA+HAC'!$B$5:$AC$88,21,FALSE)</f>
        <v>0</v>
      </c>
      <c r="E52" s="175">
        <f>VLOOKUP($A52,'Fed Bs Rt+IME+GME+VBP+RAA+HAC'!$B$5:$AC$88,25,FALSE)</f>
        <v>0</v>
      </c>
      <c r="F52" s="175">
        <f>VLOOKUP($A52,'Fed Bs Rt+IME+GME+VBP+RAA+HAC'!$B$5:$AC$88,23,FALSE)</f>
        <v>0</v>
      </c>
      <c r="G52" s="175">
        <f>VLOOKUP($A52,'Fed Bs Rt+IME+GME+VBP+RAA+HAC'!$B$5:$AC$88,28,FALSE)</f>
        <v>0</v>
      </c>
      <c r="H52" s="175">
        <f t="shared" si="35"/>
        <v>0</v>
      </c>
      <c r="I52" s="175">
        <f>VLOOKUP($A52,'Fed Bs Rt+IME+GME+VBP+RAA+HAC'!$B$5:$AC$88,16,FALSE)</f>
        <v>0</v>
      </c>
      <c r="J52" s="175">
        <f t="shared" si="36"/>
        <v>0</v>
      </c>
      <c r="K52" s="175">
        <f t="shared" si="72"/>
        <v>0</v>
      </c>
      <c r="L52" s="294">
        <f>IF(OR(J52&gt;0,K52&gt;0,M52&gt;0),0,IF(VLOOKUP(A52,'Low Discharge'!A:C,3,FALSE)&lt;=L$3,L$1*C52,IF(VLOOKUP(A52,'Low Discharge'!A:C,3,FALSE)&gt;=L$2,0,(VLOOKUP(A52,'Low Discharge'!A:C,3,FALSE)-L$2)/(L$3-L$2)*L$1*C52)))</f>
        <v>652.17222690000017</v>
      </c>
      <c r="M52" s="170">
        <f>IF(VLOOKUP($A52,Characteristics!$A:$E,3,FALSE)=2,M$1*C52,0)</f>
        <v>0</v>
      </c>
      <c r="N52" s="170">
        <f>IF(VLOOKUP($A52,Characteristics!$A:$E,5,FALSE)&gt;=N$2,N$1*C52,IF(VLOOKUP($A52,Characteristics!$A:$E,5,FALSE)&lt;=N$3,0,(VLOOKUP($A52,Characteristics!$A:$E,5,FALSE)-N$3)/(N$2-N$3)*N$1*C52))</f>
        <v>652.17222690000017</v>
      </c>
      <c r="O52" s="170">
        <f>IF(VLOOKUP($A52,Characteristics!$A:$F,6,FALSE)&lt;=O$3,O$1*C52,IF(VLOOKUP($A52,Characteristics!$A:$F,6,FALSE)&gt;=O$2,0,(VLOOKUP($A52,Characteristics!$A:$F,6,FALSE)-O$2)/(O$3-O$2)*O$1*C52))</f>
        <v>0</v>
      </c>
      <c r="P52" s="175">
        <f t="shared" si="73"/>
        <v>7826.0667228000011</v>
      </c>
      <c r="Q52" s="175"/>
      <c r="R52" s="85">
        <v>5245.65</v>
      </c>
      <c r="S52" s="86">
        <f t="shared" si="37"/>
        <v>5376.7912499999993</v>
      </c>
      <c r="T52" s="85">
        <f t="shared" si="74"/>
        <v>1465987.2883970563</v>
      </c>
      <c r="U52" s="88">
        <v>236.3844</v>
      </c>
      <c r="V52" s="89">
        <v>1.1534219626168225</v>
      </c>
      <c r="W52" s="90">
        <f t="shared" si="75"/>
        <v>2133784.5938824597</v>
      </c>
      <c r="X52" s="98" t="s">
        <v>5</v>
      </c>
      <c r="Y52" s="85">
        <f t="shared" si="38"/>
        <v>5376.7912499999993</v>
      </c>
      <c r="Z52" s="85">
        <f t="shared" si="39"/>
        <v>4839.1121249999997</v>
      </c>
      <c r="AA52" s="85">
        <f t="shared" si="40"/>
        <v>5914.4703749999999</v>
      </c>
      <c r="AB52" s="230"/>
      <c r="AC52" s="101"/>
      <c r="AD52" s="85">
        <f t="shared" si="41"/>
        <v>6524.8558107254948</v>
      </c>
      <c r="AE52" s="85">
        <f t="shared" si="76"/>
        <v>1779008.1913905893</v>
      </c>
      <c r="AF52" s="92">
        <f t="shared" si="42"/>
        <v>0</v>
      </c>
      <c r="AG52" s="92">
        <f t="shared" si="43"/>
        <v>1</v>
      </c>
      <c r="AH52" s="85">
        <f t="shared" si="44"/>
        <v>5914.4703749999999</v>
      </c>
      <c r="AI52" s="85">
        <f t="shared" si="77"/>
        <v>1612586.017236762</v>
      </c>
      <c r="AJ52" s="93">
        <f t="shared" si="78"/>
        <v>2133784.5938824597</v>
      </c>
      <c r="AK52" s="93">
        <f t="shared" si="7"/>
        <v>1465987.2883970563</v>
      </c>
      <c r="AL52" s="94">
        <f t="shared" si="45"/>
        <v>0</v>
      </c>
      <c r="AM52" s="95"/>
      <c r="AN52" s="85">
        <f t="shared" si="46"/>
        <v>6504.8903132431551</v>
      </c>
      <c r="AO52" s="85">
        <f t="shared" si="79"/>
        <v>1773564.5793635028</v>
      </c>
      <c r="AP52" s="92">
        <f t="shared" si="47"/>
        <v>0</v>
      </c>
      <c r="AQ52" s="92">
        <f t="shared" si="48"/>
        <v>1</v>
      </c>
      <c r="AR52" s="85">
        <f t="shared" si="49"/>
        <v>5914.4703749999999</v>
      </c>
      <c r="AS52" s="85">
        <f t="shared" si="80"/>
        <v>1612586.017236762</v>
      </c>
      <c r="AT52" s="93">
        <f t="shared" si="81"/>
        <v>0</v>
      </c>
      <c r="AU52" s="93">
        <f t="shared" si="11"/>
        <v>-146598.7288397057</v>
      </c>
      <c r="AV52" s="94">
        <f t="shared" si="12"/>
        <v>1</v>
      </c>
      <c r="AW52" s="92">
        <f t="shared" si="13"/>
        <v>1</v>
      </c>
      <c r="AX52" s="95"/>
      <c r="AY52" s="85">
        <f t="shared" si="50"/>
        <v>5914.4703749999999</v>
      </c>
      <c r="AZ52" s="85">
        <f t="shared" si="82"/>
        <v>1612586.017236762</v>
      </c>
      <c r="BA52" s="92">
        <f t="shared" si="51"/>
        <v>0</v>
      </c>
      <c r="BB52" s="92">
        <f t="shared" si="52"/>
        <v>1</v>
      </c>
      <c r="BC52" s="85">
        <f t="shared" si="53"/>
        <v>5914.4703749999999</v>
      </c>
      <c r="BD52" s="85">
        <f t="shared" si="83"/>
        <v>1612586.017236762</v>
      </c>
      <c r="BE52" s="96">
        <f t="shared" si="84"/>
        <v>0</v>
      </c>
      <c r="BF52" s="96">
        <f t="shared" si="17"/>
        <v>-146598.7288397057</v>
      </c>
      <c r="BG52" s="94">
        <f t="shared" si="18"/>
        <v>1</v>
      </c>
      <c r="BH52" s="92">
        <f t="shared" si="19"/>
        <v>0</v>
      </c>
      <c r="BI52" s="95"/>
      <c r="BJ52" s="85">
        <f t="shared" si="54"/>
        <v>5914.4703749999999</v>
      </c>
      <c r="BK52" s="85">
        <f t="shared" si="85"/>
        <v>1612586.017236762</v>
      </c>
      <c r="BL52" s="92">
        <f t="shared" si="55"/>
        <v>0</v>
      </c>
      <c r="BM52" s="92">
        <f t="shared" si="56"/>
        <v>1</v>
      </c>
      <c r="BN52" s="85">
        <f t="shared" si="57"/>
        <v>5914.4703749999999</v>
      </c>
      <c r="BO52" s="85">
        <f t="shared" si="86"/>
        <v>1612586.017236762</v>
      </c>
      <c r="BP52" s="93">
        <f t="shared" si="87"/>
        <v>0</v>
      </c>
      <c r="BQ52" s="93">
        <f t="shared" si="23"/>
        <v>-146598.7288397057</v>
      </c>
      <c r="BR52" s="94">
        <f t="shared" si="24"/>
        <v>1</v>
      </c>
      <c r="BS52" s="92">
        <f t="shared" si="25"/>
        <v>0</v>
      </c>
      <c r="BT52" s="95"/>
      <c r="BU52" s="85">
        <f t="shared" si="58"/>
        <v>5914.4703749999999</v>
      </c>
      <c r="BV52" s="85">
        <f t="shared" si="88"/>
        <v>1612586.017236762</v>
      </c>
      <c r="BW52" s="92">
        <f t="shared" si="59"/>
        <v>0</v>
      </c>
      <c r="BX52" s="92">
        <f t="shared" si="60"/>
        <v>1</v>
      </c>
      <c r="BY52" s="85">
        <f t="shared" si="61"/>
        <v>5914.4703749999999</v>
      </c>
      <c r="BZ52" s="85">
        <f t="shared" si="89"/>
        <v>1612586.017236762</v>
      </c>
      <c r="CA52" s="96">
        <f t="shared" si="90"/>
        <v>0</v>
      </c>
      <c r="CB52" s="96">
        <f t="shared" si="29"/>
        <v>-146598.7288397057</v>
      </c>
      <c r="CC52" s="94">
        <f t="shared" si="30"/>
        <v>1</v>
      </c>
      <c r="CD52" s="92">
        <f t="shared" si="31"/>
        <v>0</v>
      </c>
      <c r="CE52" s="66"/>
      <c r="CF52" s="85">
        <f t="shared" si="62"/>
        <v>6516.3197978313319</v>
      </c>
      <c r="CG52" s="85">
        <f t="shared" si="91"/>
        <v>1776680.8392925444</v>
      </c>
      <c r="CH52" s="92">
        <f t="shared" si="63"/>
        <v>0</v>
      </c>
      <c r="CI52" s="92">
        <f t="shared" si="64"/>
        <v>1</v>
      </c>
      <c r="CJ52" s="85">
        <f t="shared" si="65"/>
        <v>5914.4703749999999</v>
      </c>
      <c r="CK52" s="85">
        <f t="shared" si="92"/>
        <v>1612586.017236762</v>
      </c>
      <c r="CL52" s="97">
        <f t="shared" si="34"/>
        <v>1.1000000000000001</v>
      </c>
      <c r="CM52" s="261"/>
      <c r="CN52" s="295">
        <f t="shared" si="66"/>
        <v>6032.76</v>
      </c>
      <c r="CP52" s="85">
        <f t="shared" si="67"/>
        <v>6032.76</v>
      </c>
      <c r="CQ52" s="85">
        <f t="shared" si="68"/>
        <v>5429.4840000000004</v>
      </c>
      <c r="CR52" s="85">
        <f t="shared" si="69"/>
        <v>6636.036000000001</v>
      </c>
      <c r="CS52" s="295">
        <f t="shared" si="70"/>
        <v>6646.6461937879585</v>
      </c>
      <c r="CT52" s="295">
        <f t="shared" si="71"/>
        <v>6636.036000000001</v>
      </c>
      <c r="CU52" s="303"/>
      <c r="CV52" s="303"/>
    </row>
    <row r="53" spans="1:100" s="153" customFormat="1" ht="15" customHeight="1" x14ac:dyDescent="0.3">
      <c r="A53" s="174">
        <v>60130</v>
      </c>
      <c r="B53" s="176" t="s">
        <v>270</v>
      </c>
      <c r="C53" s="175">
        <f>VLOOKUP($A53,'Fed Bs Rt+IME+GME+VBP+RAA+HAC'!$B$5:$AC$88,15,FALSE)</f>
        <v>6521.7222690000008</v>
      </c>
      <c r="D53" s="175">
        <f>VLOOKUP($A53,'Fed Bs Rt+IME+GME+VBP+RAA+HAC'!$B$5:$AC$88,21,FALSE)</f>
        <v>0</v>
      </c>
      <c r="E53" s="175">
        <f>VLOOKUP($A53,'Fed Bs Rt+IME+GME+VBP+RAA+HAC'!$B$5:$AC$88,25,FALSE)</f>
        <v>0</v>
      </c>
      <c r="F53" s="175">
        <f>VLOOKUP($A53,'Fed Bs Rt+IME+GME+VBP+RAA+HAC'!$B$5:$AC$88,23,FALSE)</f>
        <v>0</v>
      </c>
      <c r="G53" s="175">
        <f>VLOOKUP($A53,'Fed Bs Rt+IME+GME+VBP+RAA+HAC'!$B$5:$AC$88,28,FALSE)</f>
        <v>0</v>
      </c>
      <c r="H53" s="175">
        <f t="shared" si="35"/>
        <v>0</v>
      </c>
      <c r="I53" s="175">
        <f>VLOOKUP($A53,'Fed Bs Rt+IME+GME+VBP+RAA+HAC'!$B$5:$AC$88,16,FALSE)</f>
        <v>0</v>
      </c>
      <c r="J53" s="175">
        <f t="shared" si="36"/>
        <v>0</v>
      </c>
      <c r="K53" s="175">
        <f t="shared" si="72"/>
        <v>0</v>
      </c>
      <c r="L53" s="294">
        <f>IF(OR(J53&gt;0,K53&gt;0,M53&gt;0),0,IF(VLOOKUP(A53,'Low Discharge'!A:C,3,FALSE)&lt;=L$3,L$1*C53,IF(VLOOKUP(A53,'Low Discharge'!A:C,3,FALSE)&gt;=L$2,0,(VLOOKUP(A53,'Low Discharge'!A:C,3,FALSE)-L$2)/(L$3-L$2)*L$1*C53)))</f>
        <v>527.60733156210017</v>
      </c>
      <c r="M53" s="170">
        <f>IF(VLOOKUP($A53,Characteristics!$A:$E,3,FALSE)=2,M$1*C53,0)</f>
        <v>0</v>
      </c>
      <c r="N53" s="170">
        <f>IF(VLOOKUP($A53,Characteristics!$A:$E,5,FALSE)&gt;=N$2,N$1*C53,IF(VLOOKUP($A53,Characteristics!$A:$E,5,FALSE)&lt;=N$3,0,(VLOOKUP($A53,Characteristics!$A:$E,5,FALSE)-N$3)/(N$2-N$3)*N$1*C53))</f>
        <v>0</v>
      </c>
      <c r="O53" s="170">
        <f>IF(VLOOKUP($A53,Characteristics!$A:$F,6,FALSE)&lt;=O$3,O$1*C53,IF(VLOOKUP($A53,Characteristics!$A:$F,6,FALSE)&gt;=O$2,0,(VLOOKUP($A53,Characteristics!$A:$F,6,FALSE)-O$2)/(O$3-O$2)*O$1*C53))</f>
        <v>0</v>
      </c>
      <c r="P53" s="175">
        <f t="shared" si="73"/>
        <v>7049.3296005621014</v>
      </c>
      <c r="Q53" s="175"/>
      <c r="R53" s="85">
        <v>5264.29</v>
      </c>
      <c r="S53" s="86">
        <f t="shared" si="37"/>
        <v>5395.8972499999991</v>
      </c>
      <c r="T53" s="85">
        <f t="shared" si="74"/>
        <v>863915.06980268983</v>
      </c>
      <c r="U53" s="88">
        <v>131.44739999999999</v>
      </c>
      <c r="V53" s="89">
        <v>1.2180226890756303</v>
      </c>
      <c r="W53" s="90">
        <f t="shared" si="75"/>
        <v>1128639.370205164</v>
      </c>
      <c r="X53" s="98" t="s">
        <v>5</v>
      </c>
      <c r="Y53" s="85">
        <f t="shared" si="38"/>
        <v>5395.8972499999991</v>
      </c>
      <c r="Z53" s="85">
        <f t="shared" si="39"/>
        <v>4856.3075249999993</v>
      </c>
      <c r="AA53" s="85">
        <f t="shared" si="40"/>
        <v>5935.4869749999998</v>
      </c>
      <c r="AB53" s="230"/>
      <c r="AC53" s="100"/>
      <c r="AD53" s="85">
        <f t="shared" si="41"/>
        <v>5877.2638715109897</v>
      </c>
      <c r="AE53" s="85">
        <f t="shared" si="76"/>
        <v>940984.71348861291</v>
      </c>
      <c r="AF53" s="92">
        <f t="shared" si="42"/>
        <v>0</v>
      </c>
      <c r="AG53" s="92">
        <f t="shared" si="43"/>
        <v>0</v>
      </c>
      <c r="AH53" s="85">
        <f t="shared" si="44"/>
        <v>5877.2638715109897</v>
      </c>
      <c r="AI53" s="85">
        <f t="shared" si="77"/>
        <v>940984.71348861291</v>
      </c>
      <c r="AJ53" s="93">
        <f t="shared" si="78"/>
        <v>1128639.370205164</v>
      </c>
      <c r="AK53" s="93">
        <f t="shared" si="7"/>
        <v>863915.06980268983</v>
      </c>
      <c r="AL53" s="94">
        <f t="shared" si="45"/>
        <v>0</v>
      </c>
      <c r="AM53" s="95"/>
      <c r="AN53" s="85">
        <f t="shared" si="46"/>
        <v>5859.2799496537718</v>
      </c>
      <c r="AO53" s="85">
        <f t="shared" si="79"/>
        <v>938105.38121322461</v>
      </c>
      <c r="AP53" s="92">
        <f t="shared" si="47"/>
        <v>0</v>
      </c>
      <c r="AQ53" s="92">
        <f t="shared" si="48"/>
        <v>0</v>
      </c>
      <c r="AR53" s="85">
        <f t="shared" si="49"/>
        <v>5859.2799496537718</v>
      </c>
      <c r="AS53" s="85">
        <f t="shared" si="80"/>
        <v>938105.38121322461</v>
      </c>
      <c r="AT53" s="93">
        <f t="shared" si="81"/>
        <v>1128639.370205164</v>
      </c>
      <c r="AU53" s="93">
        <f t="shared" si="11"/>
        <v>863915.06980268983</v>
      </c>
      <c r="AV53" s="94">
        <f t="shared" si="12"/>
        <v>0</v>
      </c>
      <c r="AW53" s="92">
        <f t="shared" si="13"/>
        <v>0</v>
      </c>
      <c r="AX53" s="95"/>
      <c r="AY53" s="85">
        <f t="shared" si="50"/>
        <v>5869.5750578965726</v>
      </c>
      <c r="AZ53" s="85">
        <f t="shared" si="82"/>
        <v>939753.68894484511</v>
      </c>
      <c r="BA53" s="92">
        <f t="shared" si="51"/>
        <v>0</v>
      </c>
      <c r="BB53" s="92">
        <f t="shared" si="52"/>
        <v>0</v>
      </c>
      <c r="BC53" s="85">
        <f t="shared" si="53"/>
        <v>5869.5750578965726</v>
      </c>
      <c r="BD53" s="85">
        <f t="shared" si="83"/>
        <v>939753.68894484511</v>
      </c>
      <c r="BE53" s="96">
        <f t="shared" si="84"/>
        <v>1128639.370205164</v>
      </c>
      <c r="BF53" s="96">
        <f t="shared" si="17"/>
        <v>863915.06980268983</v>
      </c>
      <c r="BG53" s="94">
        <f t="shared" si="18"/>
        <v>0</v>
      </c>
      <c r="BH53" s="92">
        <f t="shared" si="19"/>
        <v>0</v>
      </c>
      <c r="BI53" s="95"/>
      <c r="BJ53" s="85">
        <f t="shared" si="54"/>
        <v>5869.5750578965726</v>
      </c>
      <c r="BK53" s="85">
        <f t="shared" si="85"/>
        <v>939753.68894484511</v>
      </c>
      <c r="BL53" s="92">
        <f t="shared" si="55"/>
        <v>0</v>
      </c>
      <c r="BM53" s="92">
        <f t="shared" si="56"/>
        <v>0</v>
      </c>
      <c r="BN53" s="85">
        <f t="shared" si="57"/>
        <v>5869.5750578965726</v>
      </c>
      <c r="BO53" s="85">
        <f t="shared" si="86"/>
        <v>939753.68894484511</v>
      </c>
      <c r="BP53" s="93">
        <f t="shared" si="87"/>
        <v>1128639.370205164</v>
      </c>
      <c r="BQ53" s="93">
        <f t="shared" si="23"/>
        <v>863915.06980268983</v>
      </c>
      <c r="BR53" s="94">
        <f t="shared" si="24"/>
        <v>0</v>
      </c>
      <c r="BS53" s="92">
        <f t="shared" si="25"/>
        <v>0</v>
      </c>
      <c r="BT53" s="95"/>
      <c r="BU53" s="85">
        <f t="shared" si="58"/>
        <v>5869.5750578965726</v>
      </c>
      <c r="BV53" s="85">
        <f t="shared" si="88"/>
        <v>939753.68894484511</v>
      </c>
      <c r="BW53" s="92">
        <f t="shared" si="59"/>
        <v>0</v>
      </c>
      <c r="BX53" s="92">
        <f t="shared" si="60"/>
        <v>0</v>
      </c>
      <c r="BY53" s="85">
        <f t="shared" si="61"/>
        <v>5869.5750578965726</v>
      </c>
      <c r="BZ53" s="85">
        <f t="shared" si="89"/>
        <v>939753.68894484511</v>
      </c>
      <c r="CA53" s="96">
        <f t="shared" si="90"/>
        <v>1128639.370205164</v>
      </c>
      <c r="CB53" s="96">
        <f t="shared" si="29"/>
        <v>863915.06980268983</v>
      </c>
      <c r="CC53" s="94">
        <f t="shared" si="30"/>
        <v>0</v>
      </c>
      <c r="CD53" s="92">
        <f t="shared" si="31"/>
        <v>0</v>
      </c>
      <c r="CE53" s="66"/>
      <c r="CF53" s="85">
        <f t="shared" si="62"/>
        <v>5869.5750578965726</v>
      </c>
      <c r="CG53" s="85">
        <f t="shared" si="91"/>
        <v>939753.68894484511</v>
      </c>
      <c r="CH53" s="92">
        <f t="shared" si="63"/>
        <v>0</v>
      </c>
      <c r="CI53" s="92">
        <f t="shared" si="64"/>
        <v>0</v>
      </c>
      <c r="CJ53" s="85">
        <f t="shared" si="65"/>
        <v>5869.5750578965726</v>
      </c>
      <c r="CK53" s="85">
        <f t="shared" si="92"/>
        <v>939753.68894484511</v>
      </c>
      <c r="CL53" s="97">
        <f t="shared" si="34"/>
        <v>1.0877848087074997</v>
      </c>
      <c r="CM53" s="261"/>
      <c r="CN53" s="295">
        <f t="shared" si="66"/>
        <v>5986.97</v>
      </c>
      <c r="CP53" s="85">
        <f t="shared" si="67"/>
        <v>5986.97</v>
      </c>
      <c r="CQ53" s="85">
        <f t="shared" si="68"/>
        <v>5388.2730000000001</v>
      </c>
      <c r="CR53" s="85">
        <f t="shared" si="69"/>
        <v>6585.6670000000004</v>
      </c>
      <c r="CS53" s="295">
        <f t="shared" si="70"/>
        <v>5986.9665590545046</v>
      </c>
      <c r="CT53" s="295">
        <f t="shared" si="71"/>
        <v>5986.9665590545046</v>
      </c>
      <c r="CU53" s="303"/>
      <c r="CV53" s="303"/>
    </row>
    <row r="54" spans="1:100" s="153" customFormat="1" ht="15" customHeight="1" x14ac:dyDescent="0.3">
      <c r="A54" s="174">
        <v>60131</v>
      </c>
      <c r="B54" s="176" t="s">
        <v>270</v>
      </c>
      <c r="C54" s="175">
        <f>VLOOKUP($A54,'Fed Bs Rt+IME+GME+VBP+RAA+HAC'!$B$5:$AC$88,15,FALSE)</f>
        <v>6548.945955000001</v>
      </c>
      <c r="D54" s="175">
        <f>VLOOKUP($A54,'Fed Bs Rt+IME+GME+VBP+RAA+HAC'!$B$5:$AC$88,21,FALSE)</f>
        <v>0</v>
      </c>
      <c r="E54" s="175">
        <f>VLOOKUP($A54,'Fed Bs Rt+IME+GME+VBP+RAA+HAC'!$B$5:$AC$88,25,FALSE)</f>
        <v>0</v>
      </c>
      <c r="F54" s="175">
        <f>VLOOKUP($A54,'Fed Bs Rt+IME+GME+VBP+RAA+HAC'!$B$5:$AC$88,23,FALSE)</f>
        <v>0</v>
      </c>
      <c r="G54" s="175">
        <f>VLOOKUP($A54,'Fed Bs Rt+IME+GME+VBP+RAA+HAC'!$B$5:$AC$88,28,FALSE)</f>
        <v>0</v>
      </c>
      <c r="H54" s="175">
        <f t="shared" si="35"/>
        <v>0</v>
      </c>
      <c r="I54" s="175">
        <f>VLOOKUP($A54,'Fed Bs Rt+IME+GME+VBP+RAA+HAC'!$B$5:$AC$88,16,FALSE)</f>
        <v>0</v>
      </c>
      <c r="J54" s="175">
        <f t="shared" si="36"/>
        <v>0</v>
      </c>
      <c r="K54" s="175">
        <f t="shared" si="72"/>
        <v>0</v>
      </c>
      <c r="L54" s="294">
        <f>IF(OR(J54&gt;0,K54&gt;0,M54&gt;0),0,IF(VLOOKUP(A54,'Low Discharge'!A:C,3,FALSE)&lt;=L$3,L$1*C54,IF(VLOOKUP(A54,'Low Discharge'!A:C,3,FALSE)&gt;=L$2,0,(VLOOKUP(A54,'Low Discharge'!A:C,3,FALSE)-L$2)/(L$3-L$2)*L$1*C54)))</f>
        <v>0</v>
      </c>
      <c r="M54" s="170">
        <f>IF(VLOOKUP($A54,Characteristics!$A:$E,3,FALSE)=2,M$1*C54,0)</f>
        <v>0</v>
      </c>
      <c r="N54" s="170">
        <f>IF(VLOOKUP($A54,Characteristics!$A:$E,5,FALSE)&gt;=N$2,N$1*C54,IF(VLOOKUP($A54,Characteristics!$A:$E,5,FALSE)&lt;=N$3,0,(VLOOKUP($A54,Characteristics!$A:$E,5,FALSE)-N$3)/(N$2-N$3)*N$1*C54))</f>
        <v>0</v>
      </c>
      <c r="O54" s="170">
        <f>IF(VLOOKUP($A54,Characteristics!$A:$F,6,FALSE)&lt;=O$3,O$1*C54,IF(VLOOKUP($A54,Characteristics!$A:$F,6,FALSE)&gt;=O$2,0,(VLOOKUP($A54,Characteristics!$A:$F,6,FALSE)-O$2)/(O$3-O$2)*O$1*C54))</f>
        <v>0</v>
      </c>
      <c r="P54" s="175">
        <f t="shared" si="73"/>
        <v>6548.945955000001</v>
      </c>
      <c r="Q54" s="175"/>
      <c r="R54" s="85">
        <v>5480.61</v>
      </c>
      <c r="S54" s="86">
        <f t="shared" si="37"/>
        <v>5617.6252499999991</v>
      </c>
      <c r="T54" s="85">
        <f t="shared" si="74"/>
        <v>5533936.0246206606</v>
      </c>
      <c r="U54" s="88">
        <v>925.65479999999991</v>
      </c>
      <c r="V54" s="89">
        <v>1.0642221957040574</v>
      </c>
      <c r="W54" s="90">
        <f t="shared" si="75"/>
        <v>6451382.2711239532</v>
      </c>
      <c r="X54" s="98" t="s">
        <v>5</v>
      </c>
      <c r="Y54" s="85">
        <f t="shared" si="38"/>
        <v>5617.6252499999991</v>
      </c>
      <c r="Z54" s="85">
        <f t="shared" si="39"/>
        <v>5055.862724999999</v>
      </c>
      <c r="AA54" s="85">
        <f t="shared" si="40"/>
        <v>6179.3877749999992</v>
      </c>
      <c r="AB54" s="230"/>
      <c r="AC54" s="101"/>
      <c r="AD54" s="85">
        <f t="shared" si="41"/>
        <v>5460.0771475815836</v>
      </c>
      <c r="AE54" s="85">
        <f t="shared" si="76"/>
        <v>5378735.0133777168</v>
      </c>
      <c r="AF54" s="92">
        <f t="shared" si="42"/>
        <v>0</v>
      </c>
      <c r="AG54" s="92">
        <f t="shared" si="43"/>
        <v>0</v>
      </c>
      <c r="AH54" s="85">
        <f t="shared" si="44"/>
        <v>5460.0771475815836</v>
      </c>
      <c r="AI54" s="85">
        <f t="shared" si="77"/>
        <v>5378735.0133777168</v>
      </c>
      <c r="AJ54" s="93">
        <f t="shared" si="78"/>
        <v>6451382.2711239532</v>
      </c>
      <c r="AK54" s="93">
        <f t="shared" si="7"/>
        <v>5533936.0246206606</v>
      </c>
      <c r="AL54" s="94">
        <f t="shared" si="45"/>
        <v>0</v>
      </c>
      <c r="AM54" s="95"/>
      <c r="AN54" s="85">
        <f t="shared" si="46"/>
        <v>5443.369781211245</v>
      </c>
      <c r="AO54" s="85">
        <f t="shared" si="79"/>
        <v>5362276.5469406126</v>
      </c>
      <c r="AP54" s="92">
        <f t="shared" si="47"/>
        <v>0</v>
      </c>
      <c r="AQ54" s="92">
        <f t="shared" si="48"/>
        <v>0</v>
      </c>
      <c r="AR54" s="85">
        <f t="shared" si="49"/>
        <v>5443.369781211245</v>
      </c>
      <c r="AS54" s="85">
        <f t="shared" si="80"/>
        <v>5362276.5469406126</v>
      </c>
      <c r="AT54" s="93">
        <f t="shared" si="81"/>
        <v>6451382.2711239532</v>
      </c>
      <c r="AU54" s="93">
        <f t="shared" si="11"/>
        <v>5533936.0246206606</v>
      </c>
      <c r="AV54" s="94">
        <f t="shared" si="12"/>
        <v>0</v>
      </c>
      <c r="AW54" s="92">
        <f t="shared" si="13"/>
        <v>0</v>
      </c>
      <c r="AX54" s="95"/>
      <c r="AY54" s="85">
        <f t="shared" si="50"/>
        <v>5452.9341102046856</v>
      </c>
      <c r="AZ54" s="85">
        <f t="shared" si="82"/>
        <v>5371698.390230733</v>
      </c>
      <c r="BA54" s="92">
        <f t="shared" si="51"/>
        <v>0</v>
      </c>
      <c r="BB54" s="92">
        <f t="shared" si="52"/>
        <v>0</v>
      </c>
      <c r="BC54" s="85">
        <f t="shared" si="53"/>
        <v>5452.9341102046856</v>
      </c>
      <c r="BD54" s="85">
        <f t="shared" si="83"/>
        <v>5371698.390230733</v>
      </c>
      <c r="BE54" s="93">
        <f t="shared" si="84"/>
        <v>6451382.2711239532</v>
      </c>
      <c r="BF54" s="93">
        <f t="shared" si="17"/>
        <v>5533936.0246206606</v>
      </c>
      <c r="BG54" s="94">
        <f t="shared" si="18"/>
        <v>0</v>
      </c>
      <c r="BH54" s="92">
        <f t="shared" si="19"/>
        <v>0</v>
      </c>
      <c r="BI54" s="95"/>
      <c r="BJ54" s="85">
        <f t="shared" si="54"/>
        <v>5452.9341102046856</v>
      </c>
      <c r="BK54" s="85">
        <f t="shared" si="85"/>
        <v>5371698.390230733</v>
      </c>
      <c r="BL54" s="92">
        <f t="shared" si="55"/>
        <v>0</v>
      </c>
      <c r="BM54" s="92">
        <f t="shared" si="56"/>
        <v>0</v>
      </c>
      <c r="BN54" s="85">
        <f t="shared" si="57"/>
        <v>5452.9341102046856</v>
      </c>
      <c r="BO54" s="85">
        <f t="shared" si="86"/>
        <v>5371698.390230733</v>
      </c>
      <c r="BP54" s="93">
        <f t="shared" si="87"/>
        <v>6451382.2711239532</v>
      </c>
      <c r="BQ54" s="93">
        <f t="shared" si="23"/>
        <v>5533936.0246206606</v>
      </c>
      <c r="BR54" s="94">
        <f t="shared" si="24"/>
        <v>0</v>
      </c>
      <c r="BS54" s="92">
        <f t="shared" si="25"/>
        <v>0</v>
      </c>
      <c r="BT54" s="95"/>
      <c r="BU54" s="85">
        <f t="shared" si="58"/>
        <v>5452.9341102046856</v>
      </c>
      <c r="BV54" s="85">
        <f t="shared" si="88"/>
        <v>5371698.390230733</v>
      </c>
      <c r="BW54" s="92">
        <f t="shared" si="59"/>
        <v>0</v>
      </c>
      <c r="BX54" s="92">
        <f t="shared" si="60"/>
        <v>0</v>
      </c>
      <c r="BY54" s="85">
        <f t="shared" si="61"/>
        <v>5452.9341102046856</v>
      </c>
      <c r="BZ54" s="85">
        <f t="shared" si="89"/>
        <v>5371698.390230733</v>
      </c>
      <c r="CA54" s="96">
        <f t="shared" si="90"/>
        <v>6451382.2711239532</v>
      </c>
      <c r="CB54" s="96">
        <f t="shared" si="29"/>
        <v>5533936.0246206606</v>
      </c>
      <c r="CC54" s="94">
        <f t="shared" si="30"/>
        <v>0</v>
      </c>
      <c r="CD54" s="92">
        <f t="shared" si="31"/>
        <v>0</v>
      </c>
      <c r="CE54" s="66"/>
      <c r="CF54" s="85">
        <f t="shared" si="62"/>
        <v>5452.9341102046856</v>
      </c>
      <c r="CG54" s="85">
        <f t="shared" si="91"/>
        <v>5371698.390230733</v>
      </c>
      <c r="CH54" s="92">
        <f t="shared" si="63"/>
        <v>0</v>
      </c>
      <c r="CI54" s="92">
        <f t="shared" si="64"/>
        <v>0</v>
      </c>
      <c r="CJ54" s="85">
        <f t="shared" si="65"/>
        <v>5452.9341102046856</v>
      </c>
      <c r="CK54" s="85">
        <f t="shared" si="92"/>
        <v>5371698.390230733</v>
      </c>
      <c r="CL54" s="97">
        <f t="shared" si="34"/>
        <v>0.9706831387879935</v>
      </c>
      <c r="CM54" s="261"/>
      <c r="CN54" s="295">
        <f t="shared" si="66"/>
        <v>5561.99</v>
      </c>
      <c r="CP54" s="85">
        <f t="shared" si="67"/>
        <v>5561.99</v>
      </c>
      <c r="CQ54" s="85">
        <f t="shared" si="68"/>
        <v>5005.7910000000002</v>
      </c>
      <c r="CR54" s="85">
        <f t="shared" si="69"/>
        <v>6118.1890000000003</v>
      </c>
      <c r="CS54" s="295">
        <f t="shared" si="70"/>
        <v>5561.9927924087797</v>
      </c>
      <c r="CT54" s="295">
        <f t="shared" si="71"/>
        <v>5561.9927924087797</v>
      </c>
      <c r="CU54" s="303"/>
      <c r="CV54" s="303"/>
    </row>
    <row r="55" spans="1:100" s="153" customFormat="1" ht="15" customHeight="1" x14ac:dyDescent="0.3">
      <c r="A55" s="174">
        <v>60132</v>
      </c>
      <c r="B55" s="176" t="s">
        <v>270</v>
      </c>
      <c r="C55" s="175">
        <f>VLOOKUP($A55,'Fed Bs Rt+IME+GME+VBP+RAA+HAC'!$B$5:$AC$88,15,FALSE)</f>
        <v>6521.7222690000008</v>
      </c>
      <c r="D55" s="175">
        <f>VLOOKUP($A55,'Fed Bs Rt+IME+GME+VBP+RAA+HAC'!$B$5:$AC$88,21,FALSE)</f>
        <v>0</v>
      </c>
      <c r="E55" s="175">
        <f>VLOOKUP($A55,'Fed Bs Rt+IME+GME+VBP+RAA+HAC'!$B$5:$AC$88,25,FALSE)</f>
        <v>0</v>
      </c>
      <c r="F55" s="175">
        <f>VLOOKUP($A55,'Fed Bs Rt+IME+GME+VBP+RAA+HAC'!$B$5:$AC$88,23,FALSE)</f>
        <v>0</v>
      </c>
      <c r="G55" s="175">
        <f>VLOOKUP($A55,'Fed Bs Rt+IME+GME+VBP+RAA+HAC'!$B$5:$AC$88,28,FALSE)</f>
        <v>0</v>
      </c>
      <c r="H55" s="175">
        <f t="shared" si="35"/>
        <v>0</v>
      </c>
      <c r="I55" s="175">
        <f>VLOOKUP($A55,'Fed Bs Rt+IME+GME+VBP+RAA+HAC'!$B$5:$AC$88,16,FALSE)</f>
        <v>0</v>
      </c>
      <c r="J55" s="175">
        <f t="shared" si="36"/>
        <v>0</v>
      </c>
      <c r="K55" s="175">
        <f t="shared" si="72"/>
        <v>0</v>
      </c>
      <c r="L55" s="294">
        <f>IF(OR(J55&gt;0,K55&gt;0,M55&gt;0),0,IF(VLOOKUP(A55,'Low Discharge'!A:C,3,FALSE)&lt;=L$3,L$1*C55,IF(VLOOKUP(A55,'Low Discharge'!A:C,3,FALSE)&gt;=L$2,0,(VLOOKUP(A55,'Low Discharge'!A:C,3,FALSE)-L$2)/(L$3-L$2)*L$1*C55)))</f>
        <v>0</v>
      </c>
      <c r="M55" s="170">
        <f>IF(VLOOKUP($A55,Characteristics!$A:$E,3,FALSE)=2,M$1*C55,0)</f>
        <v>0</v>
      </c>
      <c r="N55" s="170">
        <f>IF(VLOOKUP($A55,Characteristics!$A:$E,5,FALSE)&gt;=N$2,N$1*C55,IF(VLOOKUP($A55,Characteristics!$A:$E,5,FALSE)&lt;=N$3,0,(VLOOKUP($A55,Characteristics!$A:$E,5,FALSE)-N$3)/(N$2-N$3)*N$1*C55))</f>
        <v>0</v>
      </c>
      <c r="O55" s="170">
        <f>IF(VLOOKUP($A55,Characteristics!$A:$F,6,FALSE)&lt;=O$3,O$1*C55,IF(VLOOKUP($A55,Characteristics!$A:$F,6,FALSE)&gt;=O$2,0,(VLOOKUP($A55,Characteristics!$A:$F,6,FALSE)-O$2)/(O$3-O$2)*O$1*C55))</f>
        <v>0</v>
      </c>
      <c r="P55" s="175">
        <f t="shared" si="73"/>
        <v>6521.7222690000008</v>
      </c>
      <c r="Q55" s="175"/>
      <c r="R55" s="85">
        <v>5480.61</v>
      </c>
      <c r="S55" s="86">
        <f t="shared" si="37"/>
        <v>5617.6252499999991</v>
      </c>
      <c r="T55" s="85">
        <f t="shared" si="74"/>
        <v>4308278.6014186274</v>
      </c>
      <c r="U55" s="88">
        <v>618.57600000000002</v>
      </c>
      <c r="V55" s="89">
        <v>1.2398180357142856</v>
      </c>
      <c r="W55" s="90">
        <f t="shared" si="75"/>
        <v>5001650.2072522622</v>
      </c>
      <c r="X55" s="98" t="s">
        <v>5</v>
      </c>
      <c r="Y55" s="85">
        <f t="shared" si="38"/>
        <v>5617.6252499999991</v>
      </c>
      <c r="Z55" s="85">
        <f t="shared" si="39"/>
        <v>5055.862724999999</v>
      </c>
      <c r="AA55" s="85">
        <f t="shared" si="40"/>
        <v>6179.3877749999992</v>
      </c>
      <c r="AB55" s="230"/>
      <c r="AC55" s="101"/>
      <c r="AD55" s="85">
        <f t="shared" si="41"/>
        <v>5437.3798422712453</v>
      </c>
      <c r="AE55" s="85">
        <f t="shared" si="76"/>
        <v>4170044.4902838971</v>
      </c>
      <c r="AF55" s="92">
        <f t="shared" si="42"/>
        <v>0</v>
      </c>
      <c r="AG55" s="92">
        <f t="shared" si="43"/>
        <v>0</v>
      </c>
      <c r="AH55" s="85">
        <f t="shared" si="44"/>
        <v>5437.3798422712453</v>
      </c>
      <c r="AI55" s="85">
        <f t="shared" si="77"/>
        <v>4170044.4902838971</v>
      </c>
      <c r="AJ55" s="93">
        <f t="shared" si="78"/>
        <v>5001650.2072522622</v>
      </c>
      <c r="AK55" s="93">
        <f t="shared" si="7"/>
        <v>4308278.6014186274</v>
      </c>
      <c r="AL55" s="94">
        <f t="shared" si="45"/>
        <v>0</v>
      </c>
      <c r="AM55" s="95"/>
      <c r="AN55" s="85">
        <f t="shared" si="46"/>
        <v>5420.7419277026283</v>
      </c>
      <c r="AO55" s="85">
        <f t="shared" si="79"/>
        <v>4157284.5128702731</v>
      </c>
      <c r="AP55" s="92">
        <f t="shared" si="47"/>
        <v>0</v>
      </c>
      <c r="AQ55" s="92">
        <f t="shared" si="48"/>
        <v>0</v>
      </c>
      <c r="AR55" s="85">
        <f t="shared" si="49"/>
        <v>5420.7419277026283</v>
      </c>
      <c r="AS55" s="85">
        <f t="shared" si="80"/>
        <v>4157284.5128702731</v>
      </c>
      <c r="AT55" s="93">
        <f t="shared" si="81"/>
        <v>5001650.2072522622</v>
      </c>
      <c r="AU55" s="93">
        <f t="shared" si="11"/>
        <v>4308278.6014186274</v>
      </c>
      <c r="AV55" s="94">
        <f t="shared" si="12"/>
        <v>0</v>
      </c>
      <c r="AW55" s="92">
        <f t="shared" si="13"/>
        <v>0</v>
      </c>
      <c r="AX55" s="95"/>
      <c r="AY55" s="85">
        <f t="shared" si="50"/>
        <v>5430.2664981927765</v>
      </c>
      <c r="AZ55" s="85">
        <f t="shared" si="82"/>
        <v>4164589.1124838572</v>
      </c>
      <c r="BA55" s="92">
        <f t="shared" si="51"/>
        <v>0</v>
      </c>
      <c r="BB55" s="92">
        <f t="shared" si="52"/>
        <v>0</v>
      </c>
      <c r="BC55" s="85">
        <f t="shared" si="53"/>
        <v>5430.2664981927765</v>
      </c>
      <c r="BD55" s="85">
        <f t="shared" si="83"/>
        <v>4164589.1124838572</v>
      </c>
      <c r="BE55" s="93">
        <f t="shared" si="84"/>
        <v>5001650.2072522622</v>
      </c>
      <c r="BF55" s="93">
        <f t="shared" si="17"/>
        <v>4308278.6014186274</v>
      </c>
      <c r="BG55" s="94">
        <f t="shared" si="18"/>
        <v>0</v>
      </c>
      <c r="BH55" s="92">
        <f t="shared" si="19"/>
        <v>0</v>
      </c>
      <c r="BI55" s="95"/>
      <c r="BJ55" s="85">
        <f t="shared" si="54"/>
        <v>5430.2664981927765</v>
      </c>
      <c r="BK55" s="85">
        <f t="shared" si="85"/>
        <v>4164589.1124838572</v>
      </c>
      <c r="BL55" s="92">
        <f t="shared" si="55"/>
        <v>0</v>
      </c>
      <c r="BM55" s="92">
        <f t="shared" si="56"/>
        <v>0</v>
      </c>
      <c r="BN55" s="85">
        <f t="shared" si="57"/>
        <v>5430.2664981927765</v>
      </c>
      <c r="BO55" s="85">
        <f t="shared" si="86"/>
        <v>4164589.1124838572</v>
      </c>
      <c r="BP55" s="93">
        <f t="shared" si="87"/>
        <v>5001650.2072522622</v>
      </c>
      <c r="BQ55" s="93">
        <f t="shared" si="23"/>
        <v>4308278.6014186274</v>
      </c>
      <c r="BR55" s="94">
        <f t="shared" si="24"/>
        <v>0</v>
      </c>
      <c r="BS55" s="92">
        <f t="shared" si="25"/>
        <v>0</v>
      </c>
      <c r="BT55" s="95"/>
      <c r="BU55" s="85">
        <f t="shared" si="58"/>
        <v>5430.2664981927765</v>
      </c>
      <c r="BV55" s="85">
        <f t="shared" si="88"/>
        <v>4164589.1124838572</v>
      </c>
      <c r="BW55" s="92">
        <f t="shared" si="59"/>
        <v>0</v>
      </c>
      <c r="BX55" s="92">
        <f t="shared" si="60"/>
        <v>0</v>
      </c>
      <c r="BY55" s="85">
        <f t="shared" si="61"/>
        <v>5430.2664981927765</v>
      </c>
      <c r="BZ55" s="85">
        <f t="shared" si="89"/>
        <v>4164589.1124838572</v>
      </c>
      <c r="CA55" s="96">
        <f t="shared" si="90"/>
        <v>5001650.2072522622</v>
      </c>
      <c r="CB55" s="96">
        <f t="shared" si="29"/>
        <v>4308278.6014186274</v>
      </c>
      <c r="CC55" s="94">
        <f t="shared" si="30"/>
        <v>0</v>
      </c>
      <c r="CD55" s="92">
        <f t="shared" si="31"/>
        <v>0</v>
      </c>
      <c r="CE55" s="66"/>
      <c r="CF55" s="85">
        <f t="shared" si="62"/>
        <v>5430.2664981927765</v>
      </c>
      <c r="CG55" s="85">
        <f t="shared" si="91"/>
        <v>4164589.1124838572</v>
      </c>
      <c r="CH55" s="92">
        <f t="shared" si="63"/>
        <v>0</v>
      </c>
      <c r="CI55" s="92">
        <f t="shared" si="64"/>
        <v>0</v>
      </c>
      <c r="CJ55" s="85">
        <f t="shared" si="65"/>
        <v>5430.2664981927765</v>
      </c>
      <c r="CK55" s="85">
        <f t="shared" si="92"/>
        <v>4164589.1124838572</v>
      </c>
      <c r="CL55" s="97">
        <f t="shared" si="34"/>
        <v>0.96664805082766558</v>
      </c>
      <c r="CM55" s="261"/>
      <c r="CN55" s="295">
        <f t="shared" si="66"/>
        <v>5538.87</v>
      </c>
      <c r="CP55" s="85">
        <f t="shared" si="67"/>
        <v>5538.87</v>
      </c>
      <c r="CQ55" s="85">
        <f t="shared" si="68"/>
        <v>4984.9830000000002</v>
      </c>
      <c r="CR55" s="85">
        <f t="shared" si="69"/>
        <v>6092.7570000000005</v>
      </c>
      <c r="CS55" s="295">
        <f t="shared" si="70"/>
        <v>5538.8718281566316</v>
      </c>
      <c r="CT55" s="295">
        <f t="shared" si="71"/>
        <v>5538.8718281566316</v>
      </c>
      <c r="CU55" s="303"/>
      <c r="CV55" s="303"/>
    </row>
    <row r="56" spans="1:100" s="153" customFormat="1" ht="15" customHeight="1" x14ac:dyDescent="0.3">
      <c r="A56" s="174">
        <v>61300</v>
      </c>
      <c r="B56" s="176" t="s">
        <v>273</v>
      </c>
      <c r="C56" s="175">
        <f>VLOOKUP($A56,'Fed Bs Rt+IME+GME+VBP+RAA+HAC'!$B$5:$AC$88,15,FALSE)</f>
        <v>6594.24</v>
      </c>
      <c r="D56" s="175">
        <f>VLOOKUP($A56,'Fed Bs Rt+IME+GME+VBP+RAA+HAC'!$B$5:$AC$88,21,FALSE)</f>
        <v>0</v>
      </c>
      <c r="E56" s="175">
        <f>VLOOKUP($A56,'Fed Bs Rt+IME+GME+VBP+RAA+HAC'!$B$5:$AC$88,25,FALSE)</f>
        <v>0</v>
      </c>
      <c r="F56" s="175">
        <f>VLOOKUP($A56,'Fed Bs Rt+IME+GME+VBP+RAA+HAC'!$B$5:$AC$88,23,FALSE)</f>
        <v>0</v>
      </c>
      <c r="G56" s="175">
        <f>VLOOKUP($A56,'Fed Bs Rt+IME+GME+VBP+RAA+HAC'!$B$5:$AC$88,28,FALSE)</f>
        <v>0</v>
      </c>
      <c r="H56" s="175">
        <f t="shared" si="35"/>
        <v>0</v>
      </c>
      <c r="I56" s="175">
        <f>VLOOKUP($A56,'Fed Bs Rt+IME+GME+VBP+RAA+HAC'!$B$5:$AC$88,16,FALSE)</f>
        <v>0</v>
      </c>
      <c r="J56" s="175">
        <f t="shared" si="36"/>
        <v>1648.56</v>
      </c>
      <c r="K56" s="175">
        <f t="shared" si="72"/>
        <v>0</v>
      </c>
      <c r="L56" s="294">
        <f>IF(OR(J56&gt;0,K56&gt;0,M56&gt;0),0,IF(VLOOKUP(A56,'Low Discharge'!A:C,3,FALSE)&lt;=L$3,L$1*C56,IF(VLOOKUP(A56,'Low Discharge'!A:C,3,FALSE)&gt;=L$2,0,(VLOOKUP(A56,'Low Discharge'!A:C,3,FALSE)-L$2)/(L$3-L$2)*L$1*C56)))</f>
        <v>0</v>
      </c>
      <c r="M56" s="170">
        <f>IF(VLOOKUP($A56,Characteristics!$A:$E,3,FALSE)=2,M$1*C56,0)</f>
        <v>0</v>
      </c>
      <c r="N56" s="170">
        <f>IF(VLOOKUP($A56,Characteristics!$A:$E,5,FALSE)&gt;=N$2,N$1*C56,IF(VLOOKUP($A56,Characteristics!$A:$E,5,FALSE)&lt;=N$3,0,(VLOOKUP($A56,Characteristics!$A:$E,5,FALSE)-N$3)/(N$2-N$3)*N$1*C56))</f>
        <v>659.42399999999998</v>
      </c>
      <c r="O56" s="170">
        <f>IF(VLOOKUP($A56,Characteristics!$A:$F,6,FALSE)&lt;=O$3,O$1*C56,IF(VLOOKUP($A56,Characteristics!$A:$F,6,FALSE)&gt;=O$2,0,(VLOOKUP($A56,Characteristics!$A:$F,6,FALSE)-O$2)/(O$3-O$2)*O$1*C56))</f>
        <v>967.85928375702383</v>
      </c>
      <c r="P56" s="175">
        <f t="shared" si="73"/>
        <v>9870.0832837570215</v>
      </c>
      <c r="Q56" s="175"/>
      <c r="R56" s="85">
        <v>6736.64</v>
      </c>
      <c r="S56" s="86">
        <f t="shared" si="37"/>
        <v>6905.0559999999996</v>
      </c>
      <c r="T56" s="85">
        <f t="shared" si="74"/>
        <v>107874.23736</v>
      </c>
      <c r="U56" s="305">
        <v>30</v>
      </c>
      <c r="V56" s="89">
        <v>0.52075000000000005</v>
      </c>
      <c r="W56" s="90">
        <f t="shared" si="75"/>
        <v>154195.37610049406</v>
      </c>
      <c r="X56" s="98" t="s">
        <v>5</v>
      </c>
      <c r="Y56" s="85">
        <f t="shared" si="38"/>
        <v>6905.0559999999996</v>
      </c>
      <c r="Z56" s="85">
        <f t="shared" si="39"/>
        <v>6214.5504000000001</v>
      </c>
      <c r="AA56" s="85">
        <f t="shared" si="40"/>
        <v>7595.5616</v>
      </c>
      <c r="AB56" s="230"/>
      <c r="AC56" s="100"/>
      <c r="AD56" s="85">
        <f t="shared" si="41"/>
        <v>8229.0213650677015</v>
      </c>
      <c r="AE56" s="85">
        <f t="shared" si="76"/>
        <v>128557.88627577017</v>
      </c>
      <c r="AF56" s="92">
        <f t="shared" si="42"/>
        <v>0</v>
      </c>
      <c r="AG56" s="92">
        <f t="shared" si="43"/>
        <v>1</v>
      </c>
      <c r="AH56" s="85">
        <f t="shared" si="44"/>
        <v>7595.5616</v>
      </c>
      <c r="AI56" s="85">
        <f t="shared" si="77"/>
        <v>118661.66109600001</v>
      </c>
      <c r="AJ56" s="93">
        <f t="shared" si="78"/>
        <v>154195.37610049406</v>
      </c>
      <c r="AK56" s="93">
        <f t="shared" si="7"/>
        <v>107874.23736</v>
      </c>
      <c r="AL56" s="94">
        <f t="shared" si="45"/>
        <v>0</v>
      </c>
      <c r="AM56" s="95"/>
      <c r="AN56" s="85">
        <f t="shared" si="46"/>
        <v>8203.8412675893305</v>
      </c>
      <c r="AO56" s="85">
        <f t="shared" si="79"/>
        <v>128164.51020291433</v>
      </c>
      <c r="AP56" s="92">
        <f t="shared" si="47"/>
        <v>0</v>
      </c>
      <c r="AQ56" s="92">
        <f t="shared" si="48"/>
        <v>1</v>
      </c>
      <c r="AR56" s="85">
        <f t="shared" si="49"/>
        <v>7595.5616</v>
      </c>
      <c r="AS56" s="85">
        <f t="shared" si="80"/>
        <v>118661.66109600001</v>
      </c>
      <c r="AT56" s="93">
        <f t="shared" si="81"/>
        <v>0</v>
      </c>
      <c r="AU56" s="93">
        <f t="shared" si="11"/>
        <v>-10787.423736000012</v>
      </c>
      <c r="AV56" s="94">
        <f t="shared" si="12"/>
        <v>1</v>
      </c>
      <c r="AW56" s="92">
        <f t="shared" si="13"/>
        <v>1</v>
      </c>
      <c r="AX56" s="95"/>
      <c r="AY56" s="85">
        <f t="shared" si="50"/>
        <v>7595.5616</v>
      </c>
      <c r="AZ56" s="85">
        <f t="shared" si="82"/>
        <v>118661.66109600001</v>
      </c>
      <c r="BA56" s="92">
        <f t="shared" si="51"/>
        <v>0</v>
      </c>
      <c r="BB56" s="92">
        <f t="shared" si="52"/>
        <v>1</v>
      </c>
      <c r="BC56" s="85">
        <f t="shared" si="53"/>
        <v>7595.5616</v>
      </c>
      <c r="BD56" s="85">
        <f t="shared" si="83"/>
        <v>118661.66109600001</v>
      </c>
      <c r="BE56" s="93">
        <f t="shared" si="84"/>
        <v>0</v>
      </c>
      <c r="BF56" s="93">
        <f t="shared" si="17"/>
        <v>-10787.423736000012</v>
      </c>
      <c r="BG56" s="94">
        <f t="shared" si="18"/>
        <v>1</v>
      </c>
      <c r="BH56" s="92">
        <f t="shared" si="19"/>
        <v>0</v>
      </c>
      <c r="BI56" s="95"/>
      <c r="BJ56" s="85">
        <f t="shared" si="54"/>
        <v>7595.5616</v>
      </c>
      <c r="BK56" s="85">
        <f t="shared" si="85"/>
        <v>118661.66109600001</v>
      </c>
      <c r="BL56" s="92">
        <f t="shared" si="55"/>
        <v>0</v>
      </c>
      <c r="BM56" s="92">
        <f t="shared" si="56"/>
        <v>1</v>
      </c>
      <c r="BN56" s="85">
        <f t="shared" si="57"/>
        <v>7595.5616</v>
      </c>
      <c r="BO56" s="85">
        <f t="shared" si="86"/>
        <v>118661.66109600001</v>
      </c>
      <c r="BP56" s="93">
        <f t="shared" si="87"/>
        <v>0</v>
      </c>
      <c r="BQ56" s="93">
        <f t="shared" si="23"/>
        <v>-10787.423736000012</v>
      </c>
      <c r="BR56" s="94">
        <f t="shared" si="24"/>
        <v>1</v>
      </c>
      <c r="BS56" s="92">
        <f t="shared" si="25"/>
        <v>0</v>
      </c>
      <c r="BT56" s="95"/>
      <c r="BU56" s="85">
        <f t="shared" si="58"/>
        <v>7595.5616</v>
      </c>
      <c r="BV56" s="85">
        <f t="shared" si="88"/>
        <v>118661.66109600001</v>
      </c>
      <c r="BW56" s="92">
        <f t="shared" si="59"/>
        <v>0</v>
      </c>
      <c r="BX56" s="92">
        <f t="shared" si="60"/>
        <v>1</v>
      </c>
      <c r="BY56" s="85">
        <f t="shared" si="61"/>
        <v>7595.5616</v>
      </c>
      <c r="BZ56" s="85">
        <f t="shared" si="89"/>
        <v>118661.66109600001</v>
      </c>
      <c r="CA56" s="96">
        <f t="shared" si="90"/>
        <v>0</v>
      </c>
      <c r="CB56" s="96">
        <f t="shared" si="29"/>
        <v>-10787.423736000012</v>
      </c>
      <c r="CC56" s="94">
        <f t="shared" si="30"/>
        <v>1</v>
      </c>
      <c r="CD56" s="92">
        <f t="shared" si="31"/>
        <v>0</v>
      </c>
      <c r="CE56" s="66"/>
      <c r="CF56" s="85">
        <f t="shared" si="62"/>
        <v>8218.2559114674696</v>
      </c>
      <c r="CG56" s="85">
        <f t="shared" si="91"/>
        <v>128389.70297690056</v>
      </c>
      <c r="CH56" s="92">
        <f t="shared" si="63"/>
        <v>0</v>
      </c>
      <c r="CI56" s="92">
        <f t="shared" si="64"/>
        <v>1</v>
      </c>
      <c r="CJ56" s="85">
        <f t="shared" si="65"/>
        <v>7595.5616</v>
      </c>
      <c r="CK56" s="85">
        <f t="shared" si="92"/>
        <v>118661.66109600001</v>
      </c>
      <c r="CL56" s="97">
        <f t="shared" si="34"/>
        <v>1.1000000000000001</v>
      </c>
      <c r="CM56" s="261"/>
      <c r="CN56" s="295">
        <f t="shared" si="66"/>
        <v>7747.47</v>
      </c>
      <c r="CP56" s="85">
        <f t="shared" si="67"/>
        <v>7747.47</v>
      </c>
      <c r="CQ56" s="85">
        <f t="shared" si="68"/>
        <v>6972.723</v>
      </c>
      <c r="CR56" s="85">
        <f t="shared" si="69"/>
        <v>8522.2170000000006</v>
      </c>
      <c r="CS56" s="295">
        <f t="shared" si="70"/>
        <v>8382.6210296968184</v>
      </c>
      <c r="CT56" s="295">
        <f t="shared" si="71"/>
        <v>8382.6210296968184</v>
      </c>
      <c r="CU56" s="303"/>
      <c r="CV56" s="303"/>
    </row>
    <row r="57" spans="1:100" s="153" customFormat="1" ht="15" customHeight="1" x14ac:dyDescent="0.3">
      <c r="A57" s="174">
        <v>61301</v>
      </c>
      <c r="B57" s="176" t="s">
        <v>273</v>
      </c>
      <c r="C57" s="175">
        <f>VLOOKUP($A57,'Fed Bs Rt+IME+GME+VBP+RAA+HAC'!$B$5:$AC$88,15,FALSE)</f>
        <v>6594.24</v>
      </c>
      <c r="D57" s="175">
        <f>VLOOKUP($A57,'Fed Bs Rt+IME+GME+VBP+RAA+HAC'!$B$5:$AC$88,21,FALSE)</f>
        <v>0</v>
      </c>
      <c r="E57" s="175">
        <f>VLOOKUP($A57,'Fed Bs Rt+IME+GME+VBP+RAA+HAC'!$B$5:$AC$88,25,FALSE)</f>
        <v>0</v>
      </c>
      <c r="F57" s="175">
        <f>VLOOKUP($A57,'Fed Bs Rt+IME+GME+VBP+RAA+HAC'!$B$5:$AC$88,23,FALSE)</f>
        <v>0</v>
      </c>
      <c r="G57" s="175">
        <f>VLOOKUP($A57,'Fed Bs Rt+IME+GME+VBP+RAA+HAC'!$B$5:$AC$88,28,FALSE)</f>
        <v>0</v>
      </c>
      <c r="H57" s="175">
        <f t="shared" si="35"/>
        <v>0</v>
      </c>
      <c r="I57" s="175">
        <f>VLOOKUP($A57,'Fed Bs Rt+IME+GME+VBP+RAA+HAC'!$B$5:$AC$88,16,FALSE)</f>
        <v>0</v>
      </c>
      <c r="J57" s="175">
        <f t="shared" si="36"/>
        <v>1648.56</v>
      </c>
      <c r="K57" s="175">
        <f t="shared" si="72"/>
        <v>0</v>
      </c>
      <c r="L57" s="294">
        <f>IF(OR(J57&gt;0,K57&gt;0,M57&gt;0),0,IF(VLOOKUP(A57,'Low Discharge'!A:C,3,FALSE)&lt;=L$3,L$1*C57,IF(VLOOKUP(A57,'Low Discharge'!A:C,3,FALSE)&gt;=L$2,0,(VLOOKUP(A57,'Low Discharge'!A:C,3,FALSE)-L$2)/(L$3-L$2)*L$1*C57)))</f>
        <v>0</v>
      </c>
      <c r="M57" s="170">
        <f>IF(VLOOKUP($A57,Characteristics!$A:$E,3,FALSE)=2,M$1*C57,0)</f>
        <v>0</v>
      </c>
      <c r="N57" s="170">
        <f>IF(VLOOKUP($A57,Characteristics!$A:$E,5,FALSE)&gt;=N$2,N$1*C57,IF(VLOOKUP($A57,Characteristics!$A:$E,5,FALSE)&lt;=N$3,0,(VLOOKUP($A57,Characteristics!$A:$E,5,FALSE)-N$3)/(N$2-N$3)*N$1*C57))</f>
        <v>0</v>
      </c>
      <c r="O57" s="170">
        <f>IF(VLOOKUP($A57,Characteristics!$A:$F,6,FALSE)&lt;=O$3,O$1*C57,IF(VLOOKUP($A57,Characteristics!$A:$F,6,FALSE)&gt;=O$2,0,(VLOOKUP($A57,Characteristics!$A:$F,6,FALSE)-O$2)/(O$3-O$2)*O$1*C57))</f>
        <v>0</v>
      </c>
      <c r="P57" s="175">
        <f t="shared" si="73"/>
        <v>8242.7999999999993</v>
      </c>
      <c r="Q57" s="175"/>
      <c r="R57" s="85">
        <v>6736.64</v>
      </c>
      <c r="S57" s="86">
        <f t="shared" si="37"/>
        <v>6905.0559999999996</v>
      </c>
      <c r="T57" s="85">
        <f t="shared" si="74"/>
        <v>667281.85429453617</v>
      </c>
      <c r="U57" s="88">
        <v>103.83239999999999</v>
      </c>
      <c r="V57" s="89">
        <v>0.93069893617021271</v>
      </c>
      <c r="W57" s="90">
        <f t="shared" si="75"/>
        <v>796557.02554461581</v>
      </c>
      <c r="X57" s="98" t="s">
        <v>5</v>
      </c>
      <c r="Y57" s="85">
        <f t="shared" si="38"/>
        <v>6905.0559999999996</v>
      </c>
      <c r="Z57" s="85">
        <f t="shared" si="39"/>
        <v>6214.5504000000001</v>
      </c>
      <c r="AA57" s="85">
        <f t="shared" si="40"/>
        <v>7595.5616</v>
      </c>
      <c r="AB57" s="230"/>
      <c r="AC57" s="101"/>
      <c r="AD57" s="85">
        <f t="shared" si="41"/>
        <v>6872.3004009101596</v>
      </c>
      <c r="AE57" s="85">
        <f t="shared" si="76"/>
        <v>664116.46115374239</v>
      </c>
      <c r="AF57" s="92">
        <f t="shared" si="42"/>
        <v>0</v>
      </c>
      <c r="AG57" s="92">
        <f t="shared" si="43"/>
        <v>0</v>
      </c>
      <c r="AH57" s="85">
        <f t="shared" si="44"/>
        <v>6872.3004009101596</v>
      </c>
      <c r="AI57" s="85">
        <f t="shared" si="77"/>
        <v>664116.46115374239</v>
      </c>
      <c r="AJ57" s="93">
        <f t="shared" si="78"/>
        <v>796557.02554461581</v>
      </c>
      <c r="AK57" s="93">
        <f t="shared" si="7"/>
        <v>667281.85429453617</v>
      </c>
      <c r="AL57" s="94">
        <f t="shared" si="45"/>
        <v>0</v>
      </c>
      <c r="AM57" s="95"/>
      <c r="AN57" s="85">
        <f t="shared" si="46"/>
        <v>6851.2717528706553</v>
      </c>
      <c r="AO57" s="85">
        <f t="shared" si="79"/>
        <v>662084.32191300241</v>
      </c>
      <c r="AP57" s="92">
        <f t="shared" si="47"/>
        <v>0</v>
      </c>
      <c r="AQ57" s="92">
        <f t="shared" si="48"/>
        <v>0</v>
      </c>
      <c r="AR57" s="85">
        <f t="shared" si="49"/>
        <v>6851.2717528706553</v>
      </c>
      <c r="AS57" s="85">
        <f t="shared" si="80"/>
        <v>662084.32191300241</v>
      </c>
      <c r="AT57" s="93">
        <f t="shared" si="81"/>
        <v>796557.02554461581</v>
      </c>
      <c r="AU57" s="93">
        <f t="shared" si="11"/>
        <v>667281.85429453617</v>
      </c>
      <c r="AV57" s="94">
        <f t="shared" si="12"/>
        <v>0</v>
      </c>
      <c r="AW57" s="92">
        <f t="shared" si="13"/>
        <v>0</v>
      </c>
      <c r="AX57" s="95"/>
      <c r="AY57" s="85">
        <f t="shared" si="50"/>
        <v>6863.3098505384096</v>
      </c>
      <c r="AZ57" s="85">
        <f t="shared" si="82"/>
        <v>663247.64399669261</v>
      </c>
      <c r="BA57" s="92">
        <f t="shared" si="51"/>
        <v>0</v>
      </c>
      <c r="BB57" s="92">
        <f t="shared" si="52"/>
        <v>0</v>
      </c>
      <c r="BC57" s="85">
        <f t="shared" si="53"/>
        <v>6863.3098505384096</v>
      </c>
      <c r="BD57" s="85">
        <f t="shared" si="83"/>
        <v>663247.64399669261</v>
      </c>
      <c r="BE57" s="93">
        <f t="shared" si="84"/>
        <v>796557.02554461581</v>
      </c>
      <c r="BF57" s="93">
        <f t="shared" si="17"/>
        <v>667281.85429453617</v>
      </c>
      <c r="BG57" s="94">
        <f t="shared" si="18"/>
        <v>0</v>
      </c>
      <c r="BH57" s="92">
        <f t="shared" si="19"/>
        <v>0</v>
      </c>
      <c r="BI57" s="95"/>
      <c r="BJ57" s="85">
        <f t="shared" si="54"/>
        <v>6863.3098505384096</v>
      </c>
      <c r="BK57" s="85">
        <f t="shared" si="85"/>
        <v>663247.64399669261</v>
      </c>
      <c r="BL57" s="92">
        <f t="shared" si="55"/>
        <v>0</v>
      </c>
      <c r="BM57" s="92">
        <f t="shared" si="56"/>
        <v>0</v>
      </c>
      <c r="BN57" s="85">
        <f t="shared" si="57"/>
        <v>6863.3098505384096</v>
      </c>
      <c r="BO57" s="85">
        <f t="shared" si="86"/>
        <v>663247.64399669261</v>
      </c>
      <c r="BP57" s="93">
        <f t="shared" si="87"/>
        <v>796557.02554461581</v>
      </c>
      <c r="BQ57" s="93">
        <f t="shared" si="23"/>
        <v>667281.85429453617</v>
      </c>
      <c r="BR57" s="94">
        <f t="shared" si="24"/>
        <v>0</v>
      </c>
      <c r="BS57" s="92">
        <f t="shared" si="25"/>
        <v>0</v>
      </c>
      <c r="BT57" s="95"/>
      <c r="BU57" s="85">
        <f t="shared" si="58"/>
        <v>6863.3098505384096</v>
      </c>
      <c r="BV57" s="85">
        <f t="shared" si="88"/>
        <v>663247.64399669261</v>
      </c>
      <c r="BW57" s="92">
        <f t="shared" si="59"/>
        <v>0</v>
      </c>
      <c r="BX57" s="92">
        <f t="shared" si="60"/>
        <v>0</v>
      </c>
      <c r="BY57" s="85">
        <f t="shared" si="61"/>
        <v>6863.3098505384096</v>
      </c>
      <c r="BZ57" s="85">
        <f t="shared" si="89"/>
        <v>663247.64399669261</v>
      </c>
      <c r="CA57" s="96">
        <f t="shared" si="90"/>
        <v>796557.02554461581</v>
      </c>
      <c r="CB57" s="96">
        <f t="shared" si="29"/>
        <v>667281.85429453617</v>
      </c>
      <c r="CC57" s="94">
        <f t="shared" si="30"/>
        <v>0</v>
      </c>
      <c r="CD57" s="92">
        <f t="shared" si="31"/>
        <v>0</v>
      </c>
      <c r="CE57" s="66"/>
      <c r="CF57" s="85">
        <f t="shared" si="62"/>
        <v>6863.3098505384096</v>
      </c>
      <c r="CG57" s="85">
        <f t="shared" si="91"/>
        <v>663247.64399669261</v>
      </c>
      <c r="CH57" s="92">
        <f t="shared" si="63"/>
        <v>0</v>
      </c>
      <c r="CI57" s="92">
        <f t="shared" si="64"/>
        <v>0</v>
      </c>
      <c r="CJ57" s="85">
        <f t="shared" si="65"/>
        <v>6863.3098505384096</v>
      </c>
      <c r="CK57" s="85">
        <f t="shared" si="92"/>
        <v>663247.64399669261</v>
      </c>
      <c r="CL57" s="97">
        <f t="shared" si="34"/>
        <v>0.99395426344672799</v>
      </c>
      <c r="CM57" s="261"/>
      <c r="CN57" s="295">
        <f t="shared" si="66"/>
        <v>7000.58</v>
      </c>
      <c r="CP57" s="85">
        <f t="shared" si="67"/>
        <v>7000.58</v>
      </c>
      <c r="CQ57" s="85">
        <f t="shared" si="68"/>
        <v>6300.5219999999999</v>
      </c>
      <c r="CR57" s="85">
        <f t="shared" si="69"/>
        <v>7700.6380000000008</v>
      </c>
      <c r="CS57" s="295">
        <f t="shared" si="70"/>
        <v>7000.5760475491779</v>
      </c>
      <c r="CT57" s="295">
        <f t="shared" si="71"/>
        <v>7000.5760475491779</v>
      </c>
      <c r="CU57" s="303"/>
      <c r="CV57" s="303"/>
    </row>
    <row r="58" spans="1:100" s="153" customFormat="1" ht="15" customHeight="1" x14ac:dyDescent="0.3">
      <c r="A58" s="174">
        <v>61302</v>
      </c>
      <c r="B58" s="176" t="s">
        <v>273</v>
      </c>
      <c r="C58" s="175">
        <f>VLOOKUP($A58,'Fed Bs Rt+IME+GME+VBP+RAA+HAC'!$B$5:$AC$88,15,FALSE)</f>
        <v>6594.24</v>
      </c>
      <c r="D58" s="175">
        <f>VLOOKUP($A58,'Fed Bs Rt+IME+GME+VBP+RAA+HAC'!$B$5:$AC$88,21,FALSE)</f>
        <v>0</v>
      </c>
      <c r="E58" s="175">
        <f>VLOOKUP($A58,'Fed Bs Rt+IME+GME+VBP+RAA+HAC'!$B$5:$AC$88,25,FALSE)</f>
        <v>0</v>
      </c>
      <c r="F58" s="175">
        <f>VLOOKUP($A58,'Fed Bs Rt+IME+GME+VBP+RAA+HAC'!$B$5:$AC$88,23,FALSE)</f>
        <v>0</v>
      </c>
      <c r="G58" s="175">
        <f>VLOOKUP($A58,'Fed Bs Rt+IME+GME+VBP+RAA+HAC'!$B$5:$AC$88,28,FALSE)</f>
        <v>0</v>
      </c>
      <c r="H58" s="175">
        <f t="shared" si="35"/>
        <v>0</v>
      </c>
      <c r="I58" s="175">
        <f>VLOOKUP($A58,'Fed Bs Rt+IME+GME+VBP+RAA+HAC'!$B$5:$AC$88,16,FALSE)</f>
        <v>0</v>
      </c>
      <c r="J58" s="175">
        <f t="shared" si="36"/>
        <v>1648.56</v>
      </c>
      <c r="K58" s="175">
        <f t="shared" si="72"/>
        <v>0</v>
      </c>
      <c r="L58" s="294">
        <f>IF(OR(J58&gt;0,K58&gt;0,M58&gt;0),0,IF(VLOOKUP(A58,'Low Discharge'!A:C,3,FALSE)&lt;=L$3,L$1*C58,IF(VLOOKUP(A58,'Low Discharge'!A:C,3,FALSE)&gt;=L$2,0,(VLOOKUP(A58,'Low Discharge'!A:C,3,FALSE)-L$2)/(L$3-L$2)*L$1*C58)))</f>
        <v>0</v>
      </c>
      <c r="M58" s="170">
        <f>IF(VLOOKUP($A58,Characteristics!$A:$E,3,FALSE)=2,M$1*C58,0)</f>
        <v>0</v>
      </c>
      <c r="N58" s="170">
        <f>IF(VLOOKUP($A58,Characteristics!$A:$E,5,FALSE)&gt;=N$2,N$1*C58,IF(VLOOKUP($A58,Characteristics!$A:$E,5,FALSE)&lt;=N$3,0,(VLOOKUP($A58,Characteristics!$A:$E,5,FALSE)-N$3)/(N$2-N$3)*N$1*C58))</f>
        <v>0</v>
      </c>
      <c r="O58" s="170">
        <f>IF(VLOOKUP($A58,Characteristics!$A:$F,6,FALSE)&lt;=O$3,O$1*C58,IF(VLOOKUP($A58,Characteristics!$A:$F,6,FALSE)&gt;=O$2,0,(VLOOKUP($A58,Characteristics!$A:$F,6,FALSE)-O$2)/(O$3-O$2)*O$1*C58))</f>
        <v>0</v>
      </c>
      <c r="P58" s="175">
        <f t="shared" si="73"/>
        <v>8242.7999999999993</v>
      </c>
      <c r="Q58" s="175"/>
      <c r="R58" s="85">
        <v>5480.61</v>
      </c>
      <c r="S58" s="86">
        <f t="shared" si="37"/>
        <v>5617.6252499999991</v>
      </c>
      <c r="T58" s="85">
        <f t="shared" si="74"/>
        <v>76764.849041249996</v>
      </c>
      <c r="U58" s="305">
        <v>30</v>
      </c>
      <c r="V58" s="89">
        <v>0.45550000000000002</v>
      </c>
      <c r="W58" s="90">
        <f t="shared" si="75"/>
        <v>112637.86199999999</v>
      </c>
      <c r="X58" s="98" t="s">
        <v>5</v>
      </c>
      <c r="Y58" s="85">
        <f t="shared" si="38"/>
        <v>5617.6252499999991</v>
      </c>
      <c r="Z58" s="85">
        <f t="shared" si="39"/>
        <v>5055.862724999999</v>
      </c>
      <c r="AA58" s="85">
        <f t="shared" si="40"/>
        <v>6179.3877749999992</v>
      </c>
      <c r="AB58" s="230"/>
      <c r="AC58" s="101"/>
      <c r="AD58" s="85">
        <f t="shared" si="41"/>
        <v>6872.3004009101596</v>
      </c>
      <c r="AE58" s="85">
        <f t="shared" si="76"/>
        <v>93909.984978437336</v>
      </c>
      <c r="AF58" s="92">
        <f t="shared" si="42"/>
        <v>0</v>
      </c>
      <c r="AG58" s="92">
        <f t="shared" si="43"/>
        <v>1</v>
      </c>
      <c r="AH58" s="85">
        <f t="shared" si="44"/>
        <v>6179.3877749999992</v>
      </c>
      <c r="AI58" s="85">
        <f t="shared" si="77"/>
        <v>84441.333945374994</v>
      </c>
      <c r="AJ58" s="93">
        <f t="shared" si="78"/>
        <v>112637.86199999999</v>
      </c>
      <c r="AK58" s="93">
        <f t="shared" si="7"/>
        <v>76764.849041249996</v>
      </c>
      <c r="AL58" s="94">
        <f t="shared" si="45"/>
        <v>0</v>
      </c>
      <c r="AM58" s="95"/>
      <c r="AN58" s="85">
        <f t="shared" si="46"/>
        <v>6851.2717528706553</v>
      </c>
      <c r="AO58" s="85">
        <f t="shared" si="79"/>
        <v>93622.628502977503</v>
      </c>
      <c r="AP58" s="92">
        <f t="shared" si="47"/>
        <v>0</v>
      </c>
      <c r="AQ58" s="92">
        <f t="shared" si="48"/>
        <v>1</v>
      </c>
      <c r="AR58" s="103">
        <f t="shared" si="49"/>
        <v>6179.3877749999992</v>
      </c>
      <c r="AS58" s="85">
        <f t="shared" si="80"/>
        <v>84441.333945374994</v>
      </c>
      <c r="AT58" s="93">
        <f t="shared" si="81"/>
        <v>0</v>
      </c>
      <c r="AU58" s="93">
        <f t="shared" si="11"/>
        <v>-7676.4849041249981</v>
      </c>
      <c r="AV58" s="94">
        <f t="shared" si="12"/>
        <v>1</v>
      </c>
      <c r="AW58" s="92">
        <f t="shared" si="13"/>
        <v>1</v>
      </c>
      <c r="AX58" s="95"/>
      <c r="AY58" s="85">
        <f t="shared" si="50"/>
        <v>6179.3877749999992</v>
      </c>
      <c r="AZ58" s="85">
        <f t="shared" si="82"/>
        <v>84441.333945374994</v>
      </c>
      <c r="BA58" s="92">
        <f t="shared" si="51"/>
        <v>0</v>
      </c>
      <c r="BB58" s="92">
        <f t="shared" si="52"/>
        <v>1</v>
      </c>
      <c r="BC58" s="85">
        <f t="shared" si="53"/>
        <v>6179.3877749999992</v>
      </c>
      <c r="BD58" s="85">
        <f t="shared" si="83"/>
        <v>84441.333945374994</v>
      </c>
      <c r="BE58" s="93">
        <f t="shared" si="84"/>
        <v>0</v>
      </c>
      <c r="BF58" s="93">
        <f t="shared" si="17"/>
        <v>-7676.4849041249981</v>
      </c>
      <c r="BG58" s="94">
        <f t="shared" si="18"/>
        <v>1</v>
      </c>
      <c r="BH58" s="92">
        <f t="shared" si="19"/>
        <v>0</v>
      </c>
      <c r="BI58" s="95"/>
      <c r="BJ58" s="85">
        <f t="shared" si="54"/>
        <v>6179.3877749999992</v>
      </c>
      <c r="BK58" s="85">
        <f t="shared" si="85"/>
        <v>84441.333945374994</v>
      </c>
      <c r="BL58" s="92">
        <f t="shared" si="55"/>
        <v>0</v>
      </c>
      <c r="BM58" s="92">
        <f t="shared" si="56"/>
        <v>1</v>
      </c>
      <c r="BN58" s="85">
        <f t="shared" si="57"/>
        <v>6179.3877749999992</v>
      </c>
      <c r="BO58" s="85">
        <f t="shared" si="86"/>
        <v>84441.333945374994</v>
      </c>
      <c r="BP58" s="93">
        <f t="shared" si="87"/>
        <v>0</v>
      </c>
      <c r="BQ58" s="93">
        <f t="shared" si="23"/>
        <v>-7676.4849041249981</v>
      </c>
      <c r="BR58" s="94">
        <f t="shared" si="24"/>
        <v>1</v>
      </c>
      <c r="BS58" s="92">
        <f t="shared" si="25"/>
        <v>0</v>
      </c>
      <c r="BT58" s="95"/>
      <c r="BU58" s="85">
        <f t="shared" si="58"/>
        <v>6179.3877749999992</v>
      </c>
      <c r="BV58" s="85">
        <f t="shared" si="88"/>
        <v>84441.333945374994</v>
      </c>
      <c r="BW58" s="92">
        <f t="shared" si="59"/>
        <v>0</v>
      </c>
      <c r="BX58" s="92">
        <f t="shared" si="60"/>
        <v>1</v>
      </c>
      <c r="BY58" s="85">
        <f t="shared" si="61"/>
        <v>6179.3877749999992</v>
      </c>
      <c r="BZ58" s="85">
        <f t="shared" si="89"/>
        <v>84441.333945374994</v>
      </c>
      <c r="CA58" s="96">
        <f t="shared" si="90"/>
        <v>0</v>
      </c>
      <c r="CB58" s="96">
        <f t="shared" si="29"/>
        <v>-7676.4849041249981</v>
      </c>
      <c r="CC58" s="94">
        <f t="shared" si="30"/>
        <v>1</v>
      </c>
      <c r="CD58" s="92">
        <f t="shared" si="31"/>
        <v>0</v>
      </c>
      <c r="CE58" s="66"/>
      <c r="CF58" s="85">
        <f t="shared" si="62"/>
        <v>6863.3098505384096</v>
      </c>
      <c r="CG58" s="85">
        <f t="shared" si="91"/>
        <v>93787.129107607368</v>
      </c>
      <c r="CH58" s="92">
        <f t="shared" si="63"/>
        <v>0</v>
      </c>
      <c r="CI58" s="92">
        <f t="shared" si="64"/>
        <v>1</v>
      </c>
      <c r="CJ58" s="85">
        <f t="shared" si="65"/>
        <v>6179.3877749999992</v>
      </c>
      <c r="CK58" s="85">
        <f t="shared" si="92"/>
        <v>84441.333945374994</v>
      </c>
      <c r="CL58" s="97">
        <f t="shared" si="34"/>
        <v>1.1000000000000001</v>
      </c>
      <c r="CM58" s="261"/>
      <c r="CN58" s="295">
        <f t="shared" si="66"/>
        <v>6302.98</v>
      </c>
      <c r="CP58" s="85">
        <f t="shared" si="67"/>
        <v>6302.98</v>
      </c>
      <c r="CQ58" s="85">
        <f t="shared" si="68"/>
        <v>5672.6819999999998</v>
      </c>
      <c r="CR58" s="85">
        <f t="shared" si="69"/>
        <v>6933.2780000000002</v>
      </c>
      <c r="CS58" s="295">
        <f t="shared" si="70"/>
        <v>7000.5760475491779</v>
      </c>
      <c r="CT58" s="295">
        <f t="shared" si="71"/>
        <v>6933.2780000000002</v>
      </c>
      <c r="CU58" s="303"/>
      <c r="CV58" s="303"/>
    </row>
    <row r="59" spans="1:100" s="153" customFormat="1" ht="15" customHeight="1" x14ac:dyDescent="0.3">
      <c r="A59" s="174">
        <v>61303</v>
      </c>
      <c r="B59" s="176" t="s">
        <v>273</v>
      </c>
      <c r="C59" s="175">
        <f>VLOOKUP($A59,'Fed Bs Rt+IME+GME+VBP+RAA+HAC'!$B$5:$AC$88,15,FALSE)</f>
        <v>6594.24</v>
      </c>
      <c r="D59" s="175">
        <f>VLOOKUP($A59,'Fed Bs Rt+IME+GME+VBP+RAA+HAC'!$B$5:$AC$88,21,FALSE)</f>
        <v>0</v>
      </c>
      <c r="E59" s="175">
        <f>VLOOKUP($A59,'Fed Bs Rt+IME+GME+VBP+RAA+HAC'!$B$5:$AC$88,25,FALSE)</f>
        <v>0</v>
      </c>
      <c r="F59" s="175">
        <f>VLOOKUP($A59,'Fed Bs Rt+IME+GME+VBP+RAA+HAC'!$B$5:$AC$88,23,FALSE)</f>
        <v>0</v>
      </c>
      <c r="G59" s="175">
        <f>VLOOKUP($A59,'Fed Bs Rt+IME+GME+VBP+RAA+HAC'!$B$5:$AC$88,28,FALSE)</f>
        <v>0</v>
      </c>
      <c r="H59" s="175">
        <f t="shared" si="35"/>
        <v>0</v>
      </c>
      <c r="I59" s="175">
        <f>VLOOKUP($A59,'Fed Bs Rt+IME+GME+VBP+RAA+HAC'!$B$5:$AC$88,16,FALSE)</f>
        <v>0</v>
      </c>
      <c r="J59" s="175">
        <f t="shared" si="36"/>
        <v>1648.56</v>
      </c>
      <c r="K59" s="175">
        <f t="shared" si="72"/>
        <v>0</v>
      </c>
      <c r="L59" s="294">
        <f>IF(OR(J59&gt;0,K59&gt;0,M59&gt;0),0,IF(VLOOKUP(A59,'Low Discharge'!A:C,3,FALSE)&lt;=L$3,L$1*C59,IF(VLOOKUP(A59,'Low Discharge'!A:C,3,FALSE)&gt;=L$2,0,(VLOOKUP(A59,'Low Discharge'!A:C,3,FALSE)-L$2)/(L$3-L$2)*L$1*C59)))</f>
        <v>0</v>
      </c>
      <c r="M59" s="170">
        <f>IF(VLOOKUP($A59,Characteristics!$A:$E,3,FALSE)=2,M$1*C59,0)</f>
        <v>0</v>
      </c>
      <c r="N59" s="170">
        <f>IF(VLOOKUP($A59,Characteristics!$A:$E,5,FALSE)&gt;=N$2,N$1*C59,IF(VLOOKUP($A59,Characteristics!$A:$E,5,FALSE)&lt;=N$3,0,(VLOOKUP($A59,Characteristics!$A:$E,5,FALSE)-N$3)/(N$2-N$3)*N$1*C59))</f>
        <v>0</v>
      </c>
      <c r="O59" s="170">
        <f>IF(VLOOKUP($A59,Characteristics!$A:$F,6,FALSE)&lt;=O$3,O$1*C59,IF(VLOOKUP($A59,Characteristics!$A:$F,6,FALSE)&gt;=O$2,0,(VLOOKUP($A59,Characteristics!$A:$F,6,FALSE)-O$2)/(O$3-O$2)*O$1*C59))</f>
        <v>0</v>
      </c>
      <c r="P59" s="175">
        <f t="shared" si="73"/>
        <v>8242.7999999999993</v>
      </c>
      <c r="Q59" s="175"/>
      <c r="R59" s="85">
        <v>6864.16</v>
      </c>
      <c r="S59" s="86">
        <f t="shared" si="37"/>
        <v>7035.7639999999992</v>
      </c>
      <c r="T59" s="85">
        <f t="shared" si="74"/>
        <v>782598.25015221687</v>
      </c>
      <c r="U59" s="88">
        <v>183.36359999999999</v>
      </c>
      <c r="V59" s="89">
        <v>0.60661686746987953</v>
      </c>
      <c r="W59" s="90">
        <f t="shared" si="75"/>
        <v>916858.6178209919</v>
      </c>
      <c r="X59" s="98" t="s">
        <v>5</v>
      </c>
      <c r="Y59" s="85">
        <f t="shared" si="38"/>
        <v>7035.7639999999992</v>
      </c>
      <c r="Z59" s="85">
        <f t="shared" si="39"/>
        <v>6332.1875999999993</v>
      </c>
      <c r="AA59" s="85">
        <f t="shared" si="40"/>
        <v>7739.3404</v>
      </c>
      <c r="AB59" s="230"/>
      <c r="AC59" s="101"/>
      <c r="AD59" s="85">
        <f t="shared" si="41"/>
        <v>6872.3004009101596</v>
      </c>
      <c r="AE59" s="85">
        <f t="shared" si="76"/>
        <v>764415.95657169144</v>
      </c>
      <c r="AF59" s="92">
        <f t="shared" si="42"/>
        <v>0</v>
      </c>
      <c r="AG59" s="92">
        <f t="shared" si="43"/>
        <v>0</v>
      </c>
      <c r="AH59" s="85">
        <f t="shared" si="44"/>
        <v>6872.3004009101596</v>
      </c>
      <c r="AI59" s="85">
        <f t="shared" si="77"/>
        <v>764415.95657169144</v>
      </c>
      <c r="AJ59" s="93">
        <f t="shared" si="78"/>
        <v>916858.6178209919</v>
      </c>
      <c r="AK59" s="93">
        <f t="shared" si="7"/>
        <v>782598.25015221687</v>
      </c>
      <c r="AL59" s="94">
        <f t="shared" si="45"/>
        <v>0</v>
      </c>
      <c r="AM59" s="95"/>
      <c r="AN59" s="85">
        <f t="shared" si="46"/>
        <v>6851.2717528706553</v>
      </c>
      <c r="AO59" s="85">
        <f t="shared" si="79"/>
        <v>762076.90950320207</v>
      </c>
      <c r="AP59" s="92">
        <f t="shared" si="47"/>
        <v>0</v>
      </c>
      <c r="AQ59" s="92">
        <f t="shared" si="48"/>
        <v>0</v>
      </c>
      <c r="AR59" s="85">
        <f t="shared" si="49"/>
        <v>6851.2717528706553</v>
      </c>
      <c r="AS59" s="85">
        <f t="shared" si="80"/>
        <v>762076.90950320207</v>
      </c>
      <c r="AT59" s="93">
        <f t="shared" si="81"/>
        <v>916858.6178209919</v>
      </c>
      <c r="AU59" s="93">
        <f t="shared" si="11"/>
        <v>782598.25015221687</v>
      </c>
      <c r="AV59" s="94">
        <f t="shared" si="12"/>
        <v>0</v>
      </c>
      <c r="AW59" s="92">
        <f t="shared" si="13"/>
        <v>0</v>
      </c>
      <c r="AX59" s="95"/>
      <c r="AY59" s="85">
        <f t="shared" si="50"/>
        <v>6863.3098505384096</v>
      </c>
      <c r="AZ59" s="85">
        <f t="shared" si="82"/>
        <v>763415.92459380848</v>
      </c>
      <c r="BA59" s="92">
        <f t="shared" si="51"/>
        <v>0</v>
      </c>
      <c r="BB59" s="92">
        <f t="shared" si="52"/>
        <v>0</v>
      </c>
      <c r="BC59" s="85">
        <f t="shared" si="53"/>
        <v>6863.3098505384096</v>
      </c>
      <c r="BD59" s="85">
        <f t="shared" si="83"/>
        <v>763415.92459380848</v>
      </c>
      <c r="BE59" s="93">
        <f t="shared" si="84"/>
        <v>916858.6178209919</v>
      </c>
      <c r="BF59" s="93">
        <f t="shared" si="17"/>
        <v>782598.25015221687</v>
      </c>
      <c r="BG59" s="94">
        <f t="shared" si="18"/>
        <v>0</v>
      </c>
      <c r="BH59" s="92">
        <f t="shared" si="19"/>
        <v>0</v>
      </c>
      <c r="BI59" s="95"/>
      <c r="BJ59" s="85">
        <f t="shared" si="54"/>
        <v>6863.3098505384096</v>
      </c>
      <c r="BK59" s="85">
        <f t="shared" si="85"/>
        <v>763415.92459380848</v>
      </c>
      <c r="BL59" s="92">
        <f t="shared" si="55"/>
        <v>0</v>
      </c>
      <c r="BM59" s="92">
        <f t="shared" si="56"/>
        <v>0</v>
      </c>
      <c r="BN59" s="85">
        <f t="shared" si="57"/>
        <v>6863.3098505384096</v>
      </c>
      <c r="BO59" s="85">
        <f t="shared" si="86"/>
        <v>763415.92459380848</v>
      </c>
      <c r="BP59" s="93">
        <f t="shared" si="87"/>
        <v>916858.6178209919</v>
      </c>
      <c r="BQ59" s="93">
        <f t="shared" si="23"/>
        <v>782598.25015221687</v>
      </c>
      <c r="BR59" s="94">
        <f t="shared" si="24"/>
        <v>0</v>
      </c>
      <c r="BS59" s="92">
        <f t="shared" si="25"/>
        <v>0</v>
      </c>
      <c r="BT59" s="95"/>
      <c r="BU59" s="85">
        <f t="shared" si="58"/>
        <v>6863.3098505384096</v>
      </c>
      <c r="BV59" s="85">
        <f t="shared" si="88"/>
        <v>763415.92459380848</v>
      </c>
      <c r="BW59" s="92">
        <f t="shared" si="59"/>
        <v>0</v>
      </c>
      <c r="BX59" s="92">
        <f t="shared" si="60"/>
        <v>0</v>
      </c>
      <c r="BY59" s="85">
        <f t="shared" si="61"/>
        <v>6863.3098505384096</v>
      </c>
      <c r="BZ59" s="85">
        <f t="shared" si="89"/>
        <v>763415.92459380848</v>
      </c>
      <c r="CA59" s="96">
        <f t="shared" si="90"/>
        <v>916858.6178209919</v>
      </c>
      <c r="CB59" s="96">
        <f t="shared" si="29"/>
        <v>782598.25015221687</v>
      </c>
      <c r="CC59" s="94">
        <f t="shared" si="30"/>
        <v>0</v>
      </c>
      <c r="CD59" s="92">
        <f t="shared" si="31"/>
        <v>0</v>
      </c>
      <c r="CE59" s="66"/>
      <c r="CF59" s="85">
        <f t="shared" si="62"/>
        <v>6863.3098505384096</v>
      </c>
      <c r="CG59" s="85">
        <f t="shared" si="91"/>
        <v>763415.92459380848</v>
      </c>
      <c r="CH59" s="92">
        <f t="shared" si="63"/>
        <v>0</v>
      </c>
      <c r="CI59" s="92">
        <f t="shared" si="64"/>
        <v>0</v>
      </c>
      <c r="CJ59" s="85">
        <f t="shared" si="65"/>
        <v>6863.3098505384096</v>
      </c>
      <c r="CK59" s="85">
        <f t="shared" si="92"/>
        <v>763415.92459380848</v>
      </c>
      <c r="CL59" s="97">
        <f t="shared" si="34"/>
        <v>0.97548892352534999</v>
      </c>
      <c r="CM59" s="261"/>
      <c r="CN59" s="295">
        <f t="shared" si="66"/>
        <v>7000.58</v>
      </c>
      <c r="CP59" s="85">
        <f t="shared" si="67"/>
        <v>7000.58</v>
      </c>
      <c r="CQ59" s="85">
        <f t="shared" si="68"/>
        <v>6300.5219999999999</v>
      </c>
      <c r="CR59" s="85">
        <f t="shared" si="69"/>
        <v>7700.6380000000008</v>
      </c>
      <c r="CS59" s="295">
        <f t="shared" si="70"/>
        <v>7000.5760475491779</v>
      </c>
      <c r="CT59" s="295">
        <f t="shared" si="71"/>
        <v>7000.5760475491779</v>
      </c>
      <c r="CU59" s="303"/>
      <c r="CV59" s="303"/>
    </row>
    <row r="60" spans="1:100" s="153" customFormat="1" ht="15" customHeight="1" x14ac:dyDescent="0.3">
      <c r="A60" s="174">
        <v>61304</v>
      </c>
      <c r="B60" s="176" t="s">
        <v>273</v>
      </c>
      <c r="C60" s="175">
        <f>VLOOKUP($A60,'Fed Bs Rt+IME+GME+VBP+RAA+HAC'!$B$5:$AC$88,15,FALSE)</f>
        <v>6594.24</v>
      </c>
      <c r="D60" s="175">
        <f>VLOOKUP($A60,'Fed Bs Rt+IME+GME+VBP+RAA+HAC'!$B$5:$AC$88,21,FALSE)</f>
        <v>0</v>
      </c>
      <c r="E60" s="175">
        <f>VLOOKUP($A60,'Fed Bs Rt+IME+GME+VBP+RAA+HAC'!$B$5:$AC$88,25,FALSE)</f>
        <v>0</v>
      </c>
      <c r="F60" s="175">
        <f>VLOOKUP($A60,'Fed Bs Rt+IME+GME+VBP+RAA+HAC'!$B$5:$AC$88,23,FALSE)</f>
        <v>0</v>
      </c>
      <c r="G60" s="175">
        <f>VLOOKUP($A60,'Fed Bs Rt+IME+GME+VBP+RAA+HAC'!$B$5:$AC$88,28,FALSE)</f>
        <v>0</v>
      </c>
      <c r="H60" s="175">
        <f t="shared" si="35"/>
        <v>0</v>
      </c>
      <c r="I60" s="175">
        <f>VLOOKUP($A60,'Fed Bs Rt+IME+GME+VBP+RAA+HAC'!$B$5:$AC$88,16,FALSE)</f>
        <v>0</v>
      </c>
      <c r="J60" s="175">
        <f t="shared" si="36"/>
        <v>1648.56</v>
      </c>
      <c r="K60" s="175">
        <f t="shared" si="72"/>
        <v>0</v>
      </c>
      <c r="L60" s="294">
        <f>IF(OR(J60&gt;0,K60&gt;0,M60&gt;0),0,IF(VLOOKUP(A60,'Low Discharge'!A:C,3,FALSE)&lt;=L$3,L$1*C60,IF(VLOOKUP(A60,'Low Discharge'!A:C,3,FALSE)&gt;=L$2,0,(VLOOKUP(A60,'Low Discharge'!A:C,3,FALSE)-L$2)/(L$3-L$2)*L$1*C60)))</f>
        <v>0</v>
      </c>
      <c r="M60" s="170">
        <f>IF(VLOOKUP($A60,Characteristics!$A:$E,3,FALSE)=2,M$1*C60,0)</f>
        <v>0</v>
      </c>
      <c r="N60" s="170">
        <f>IF(VLOOKUP($A60,Characteristics!$A:$E,5,FALSE)&gt;=N$2,N$1*C60,IF(VLOOKUP($A60,Characteristics!$A:$E,5,FALSE)&lt;=N$3,0,(VLOOKUP($A60,Characteristics!$A:$E,5,FALSE)-N$3)/(N$2-N$3)*N$1*C60))</f>
        <v>659.42399999999998</v>
      </c>
      <c r="O60" s="170">
        <f>IF(VLOOKUP($A60,Characteristics!$A:$F,6,FALSE)&lt;=O$3,O$1*C60,IF(VLOOKUP($A60,Characteristics!$A:$F,6,FALSE)&gt;=O$2,0,(VLOOKUP($A60,Characteristics!$A:$F,6,FALSE)-O$2)/(O$3-O$2)*O$1*C60))</f>
        <v>0</v>
      </c>
      <c r="P60" s="175">
        <f t="shared" si="73"/>
        <v>8902.2239999999983</v>
      </c>
      <c r="Q60" s="175"/>
      <c r="R60" s="85">
        <v>6736.64</v>
      </c>
      <c r="S60" s="86">
        <f t="shared" si="37"/>
        <v>6905.0559999999996</v>
      </c>
      <c r="T60" s="85">
        <f t="shared" si="74"/>
        <v>170423.68713599999</v>
      </c>
      <c r="U60" s="305">
        <v>30</v>
      </c>
      <c r="V60" s="89">
        <v>0.82269999999999999</v>
      </c>
      <c r="W60" s="90">
        <f t="shared" si="75"/>
        <v>219715.79054399996</v>
      </c>
      <c r="X60" s="98" t="s">
        <v>5</v>
      </c>
      <c r="Y60" s="85">
        <f t="shared" si="38"/>
        <v>6905.0559999999996</v>
      </c>
      <c r="Z60" s="85">
        <f t="shared" si="39"/>
        <v>6214.5504000000001</v>
      </c>
      <c r="AA60" s="85">
        <f t="shared" si="40"/>
        <v>7595.5616</v>
      </c>
      <c r="AB60" s="230"/>
      <c r="AC60" s="101"/>
      <c r="AD60" s="85">
        <f t="shared" si="41"/>
        <v>7422.0844329829715</v>
      </c>
      <c r="AE60" s="85">
        <f t="shared" si="76"/>
        <v>183184.46589045273</v>
      </c>
      <c r="AF60" s="92">
        <f t="shared" si="42"/>
        <v>0</v>
      </c>
      <c r="AG60" s="92">
        <f t="shared" si="43"/>
        <v>0</v>
      </c>
      <c r="AH60" s="85">
        <f t="shared" si="44"/>
        <v>7422.0844329829715</v>
      </c>
      <c r="AI60" s="85">
        <f t="shared" si="77"/>
        <v>183184.46589045273</v>
      </c>
      <c r="AJ60" s="93">
        <f t="shared" si="78"/>
        <v>219715.79054399996</v>
      </c>
      <c r="AK60" s="93">
        <f t="shared" si="7"/>
        <v>170423.68713599999</v>
      </c>
      <c r="AL60" s="94">
        <f t="shared" si="45"/>
        <v>0</v>
      </c>
      <c r="AM60" s="95"/>
      <c r="AN60" s="85">
        <f t="shared" si="46"/>
        <v>7399.3734931003073</v>
      </c>
      <c r="AO60" s="85">
        <f t="shared" si="79"/>
        <v>182623.93718320868</v>
      </c>
      <c r="AP60" s="92">
        <f t="shared" si="47"/>
        <v>0</v>
      </c>
      <c r="AQ60" s="92">
        <f t="shared" si="48"/>
        <v>0</v>
      </c>
      <c r="AR60" s="85">
        <f t="shared" si="49"/>
        <v>7399.3734931003073</v>
      </c>
      <c r="AS60" s="85">
        <f t="shared" si="80"/>
        <v>182623.93718320868</v>
      </c>
      <c r="AT60" s="93">
        <f t="shared" si="81"/>
        <v>219715.79054399996</v>
      </c>
      <c r="AU60" s="93">
        <f t="shared" si="11"/>
        <v>170423.68713599999</v>
      </c>
      <c r="AV60" s="94">
        <f t="shared" si="12"/>
        <v>0</v>
      </c>
      <c r="AW60" s="92">
        <f t="shared" si="13"/>
        <v>0</v>
      </c>
      <c r="AX60" s="95"/>
      <c r="AY60" s="85">
        <f t="shared" si="50"/>
        <v>7412.374638581482</v>
      </c>
      <c r="AZ60" s="85">
        <f t="shared" si="82"/>
        <v>182944.81845482954</v>
      </c>
      <c r="BA60" s="92">
        <f t="shared" si="51"/>
        <v>0</v>
      </c>
      <c r="BB60" s="92">
        <f t="shared" si="52"/>
        <v>0</v>
      </c>
      <c r="BC60" s="85">
        <f t="shared" si="53"/>
        <v>7412.374638581482</v>
      </c>
      <c r="BD60" s="85">
        <f t="shared" si="83"/>
        <v>182944.81845482954</v>
      </c>
      <c r="BE60" s="93">
        <f t="shared" si="84"/>
        <v>219715.79054399996</v>
      </c>
      <c r="BF60" s="93">
        <f t="shared" si="17"/>
        <v>170423.68713599999</v>
      </c>
      <c r="BG60" s="94">
        <f t="shared" si="18"/>
        <v>0</v>
      </c>
      <c r="BH60" s="92">
        <f t="shared" si="19"/>
        <v>0</v>
      </c>
      <c r="BI60" s="95"/>
      <c r="BJ60" s="85">
        <f t="shared" si="54"/>
        <v>7412.374638581482</v>
      </c>
      <c r="BK60" s="85">
        <f t="shared" si="85"/>
        <v>182944.81845482954</v>
      </c>
      <c r="BL60" s="92">
        <f t="shared" si="55"/>
        <v>0</v>
      </c>
      <c r="BM60" s="92">
        <f t="shared" si="56"/>
        <v>0</v>
      </c>
      <c r="BN60" s="85">
        <f t="shared" si="57"/>
        <v>7412.374638581482</v>
      </c>
      <c r="BO60" s="85">
        <f t="shared" si="86"/>
        <v>182944.81845482954</v>
      </c>
      <c r="BP60" s="93">
        <f t="shared" si="87"/>
        <v>219715.79054399996</v>
      </c>
      <c r="BQ60" s="93">
        <f t="shared" si="23"/>
        <v>170423.68713599999</v>
      </c>
      <c r="BR60" s="94">
        <f t="shared" si="24"/>
        <v>0</v>
      </c>
      <c r="BS60" s="92">
        <f t="shared" si="25"/>
        <v>0</v>
      </c>
      <c r="BT60" s="95"/>
      <c r="BU60" s="85">
        <f t="shared" si="58"/>
        <v>7412.374638581482</v>
      </c>
      <c r="BV60" s="85">
        <f t="shared" si="88"/>
        <v>182944.81845482954</v>
      </c>
      <c r="BW60" s="92">
        <f t="shared" si="59"/>
        <v>0</v>
      </c>
      <c r="BX60" s="92">
        <f t="shared" si="60"/>
        <v>0</v>
      </c>
      <c r="BY60" s="85">
        <f t="shared" si="61"/>
        <v>7412.374638581482</v>
      </c>
      <c r="BZ60" s="85">
        <f t="shared" si="89"/>
        <v>182944.81845482954</v>
      </c>
      <c r="CA60" s="96">
        <f t="shared" si="90"/>
        <v>219715.79054399996</v>
      </c>
      <c r="CB60" s="96">
        <f t="shared" si="29"/>
        <v>170423.68713599999</v>
      </c>
      <c r="CC60" s="94">
        <f t="shared" si="30"/>
        <v>0</v>
      </c>
      <c r="CD60" s="92">
        <f t="shared" si="31"/>
        <v>0</v>
      </c>
      <c r="CE60" s="66"/>
      <c r="CF60" s="85">
        <f t="shared" si="62"/>
        <v>7412.374638581482</v>
      </c>
      <c r="CG60" s="85">
        <f t="shared" si="91"/>
        <v>182944.81845482954</v>
      </c>
      <c r="CH60" s="92">
        <f t="shared" si="63"/>
        <v>0</v>
      </c>
      <c r="CI60" s="92">
        <f t="shared" si="64"/>
        <v>0</v>
      </c>
      <c r="CJ60" s="85">
        <f t="shared" si="65"/>
        <v>7412.374638581482</v>
      </c>
      <c r="CK60" s="85">
        <f t="shared" si="92"/>
        <v>182944.81845482954</v>
      </c>
      <c r="CL60" s="97">
        <f t="shared" si="34"/>
        <v>1.0734706045224662</v>
      </c>
      <c r="CM60" s="261"/>
      <c r="CN60" s="295">
        <f t="shared" si="66"/>
        <v>7560.62</v>
      </c>
      <c r="CP60" s="85">
        <f t="shared" si="67"/>
        <v>7560.62</v>
      </c>
      <c r="CQ60" s="85">
        <f t="shared" si="68"/>
        <v>6804.558</v>
      </c>
      <c r="CR60" s="85">
        <f t="shared" si="69"/>
        <v>8316.6820000000007</v>
      </c>
      <c r="CS60" s="295">
        <f t="shared" si="70"/>
        <v>7560.6221313531114</v>
      </c>
      <c r="CT60" s="295">
        <f t="shared" si="71"/>
        <v>7560.6221313531114</v>
      </c>
      <c r="CU60" s="303"/>
      <c r="CV60" s="303"/>
    </row>
    <row r="61" spans="1:100" s="153" customFormat="1" ht="15" customHeight="1" x14ac:dyDescent="0.3">
      <c r="A61" s="174">
        <v>61305</v>
      </c>
      <c r="B61" s="176" t="s">
        <v>273</v>
      </c>
      <c r="C61" s="175">
        <f>VLOOKUP($A61,'Fed Bs Rt+IME+GME+VBP+RAA+HAC'!$B$5:$AC$88,15,FALSE)</f>
        <v>6594.24</v>
      </c>
      <c r="D61" s="175">
        <f>VLOOKUP($A61,'Fed Bs Rt+IME+GME+VBP+RAA+HAC'!$B$5:$AC$88,21,FALSE)</f>
        <v>0</v>
      </c>
      <c r="E61" s="175">
        <f>VLOOKUP($A61,'Fed Bs Rt+IME+GME+VBP+RAA+HAC'!$B$5:$AC$88,25,FALSE)</f>
        <v>0</v>
      </c>
      <c r="F61" s="175">
        <f>VLOOKUP($A61,'Fed Bs Rt+IME+GME+VBP+RAA+HAC'!$B$5:$AC$88,23,FALSE)</f>
        <v>0</v>
      </c>
      <c r="G61" s="175">
        <f>VLOOKUP($A61,'Fed Bs Rt+IME+GME+VBP+RAA+HAC'!$B$5:$AC$88,28,FALSE)</f>
        <v>0</v>
      </c>
      <c r="H61" s="175">
        <f t="shared" si="35"/>
        <v>0</v>
      </c>
      <c r="I61" s="175">
        <f>VLOOKUP($A61,'Fed Bs Rt+IME+GME+VBP+RAA+HAC'!$B$5:$AC$88,16,FALSE)</f>
        <v>0</v>
      </c>
      <c r="J61" s="175">
        <f t="shared" si="36"/>
        <v>1648.56</v>
      </c>
      <c r="K61" s="175">
        <f t="shared" si="72"/>
        <v>0</v>
      </c>
      <c r="L61" s="294">
        <f>IF(OR(J61&gt;0,K61&gt;0,M61&gt;0),0,IF(VLOOKUP(A61,'Low Discharge'!A:C,3,FALSE)&lt;=L$3,L$1*C61,IF(VLOOKUP(A61,'Low Discharge'!A:C,3,FALSE)&gt;=L$2,0,(VLOOKUP(A61,'Low Discharge'!A:C,3,FALSE)-L$2)/(L$3-L$2)*L$1*C61)))</f>
        <v>0</v>
      </c>
      <c r="M61" s="170">
        <f>IF(VLOOKUP($A61,Characteristics!$A:$E,3,FALSE)=2,M$1*C61,0)</f>
        <v>0</v>
      </c>
      <c r="N61" s="170">
        <f>IF(VLOOKUP($A61,Characteristics!$A:$E,5,FALSE)&gt;=N$2,N$1*C61,IF(VLOOKUP($A61,Characteristics!$A:$E,5,FALSE)&lt;=N$3,0,(VLOOKUP($A61,Characteristics!$A:$E,5,FALSE)-N$3)/(N$2-N$3)*N$1*C61))</f>
        <v>0</v>
      </c>
      <c r="O61" s="170">
        <f>IF(VLOOKUP($A61,Characteristics!$A:$F,6,FALSE)&lt;=O$3,O$1*C61,IF(VLOOKUP($A61,Characteristics!$A:$F,6,FALSE)&gt;=O$2,0,(VLOOKUP($A61,Characteristics!$A:$F,6,FALSE)-O$2)/(O$3-O$2)*O$1*C61))</f>
        <v>1318.848</v>
      </c>
      <c r="P61" s="175">
        <f t="shared" si="73"/>
        <v>9561.6479999999992</v>
      </c>
      <c r="Q61" s="175"/>
      <c r="R61" s="85">
        <v>6736.64</v>
      </c>
      <c r="S61" s="86">
        <f t="shared" si="37"/>
        <v>6905.0559999999996</v>
      </c>
      <c r="T61" s="85">
        <f t="shared" si="74"/>
        <v>252166.98711711357</v>
      </c>
      <c r="U61" s="88">
        <v>35.347200000000001</v>
      </c>
      <c r="V61" s="89">
        <v>1.03315625</v>
      </c>
      <c r="W61" s="90">
        <f t="shared" si="75"/>
        <v>349183.55014562875</v>
      </c>
      <c r="X61" s="98" t="s">
        <v>5</v>
      </c>
      <c r="Y61" s="85">
        <f t="shared" si="38"/>
        <v>6905.0559999999996</v>
      </c>
      <c r="Z61" s="85">
        <f t="shared" si="39"/>
        <v>6214.5504000000001</v>
      </c>
      <c r="AA61" s="85">
        <f t="shared" si="40"/>
        <v>7595.5616</v>
      </c>
      <c r="AB61" s="230"/>
      <c r="AC61" s="101"/>
      <c r="AD61" s="85">
        <f t="shared" si="41"/>
        <v>7971.8684650557852</v>
      </c>
      <c r="AE61" s="85">
        <f t="shared" si="76"/>
        <v>291126.10419481702</v>
      </c>
      <c r="AF61" s="92">
        <f t="shared" si="42"/>
        <v>0</v>
      </c>
      <c r="AG61" s="92">
        <f t="shared" si="43"/>
        <v>1</v>
      </c>
      <c r="AH61" s="85">
        <f t="shared" si="44"/>
        <v>7595.5616</v>
      </c>
      <c r="AI61" s="85">
        <f t="shared" si="77"/>
        <v>277383.68582882499</v>
      </c>
      <c r="AJ61" s="93">
        <f t="shared" si="78"/>
        <v>349183.55014562875</v>
      </c>
      <c r="AK61" s="93">
        <f t="shared" si="7"/>
        <v>252166.98711711357</v>
      </c>
      <c r="AL61" s="94">
        <f t="shared" si="45"/>
        <v>0</v>
      </c>
      <c r="AM61" s="95"/>
      <c r="AN61" s="85">
        <f t="shared" si="46"/>
        <v>7947.4752333299602</v>
      </c>
      <c r="AO61" s="85">
        <f t="shared" si="79"/>
        <v>290235.28336000396</v>
      </c>
      <c r="AP61" s="92">
        <f t="shared" si="47"/>
        <v>0</v>
      </c>
      <c r="AQ61" s="92">
        <f t="shared" si="48"/>
        <v>1</v>
      </c>
      <c r="AR61" s="85">
        <f t="shared" si="49"/>
        <v>7595.5616</v>
      </c>
      <c r="AS61" s="85">
        <f t="shared" si="80"/>
        <v>277383.68582882499</v>
      </c>
      <c r="AT61" s="93">
        <f t="shared" si="81"/>
        <v>0</v>
      </c>
      <c r="AU61" s="93">
        <f t="shared" si="11"/>
        <v>-25216.698711711419</v>
      </c>
      <c r="AV61" s="94">
        <f t="shared" si="12"/>
        <v>1</v>
      </c>
      <c r="AW61" s="92">
        <f t="shared" si="13"/>
        <v>1</v>
      </c>
      <c r="AX61" s="95"/>
      <c r="AY61" s="85">
        <f t="shared" si="50"/>
        <v>7595.5616</v>
      </c>
      <c r="AZ61" s="85">
        <f t="shared" si="82"/>
        <v>277383.68582882499</v>
      </c>
      <c r="BA61" s="92">
        <f t="shared" si="51"/>
        <v>0</v>
      </c>
      <c r="BB61" s="92">
        <f t="shared" si="52"/>
        <v>1</v>
      </c>
      <c r="BC61" s="85">
        <f t="shared" si="53"/>
        <v>7595.5616</v>
      </c>
      <c r="BD61" s="85">
        <f t="shared" si="83"/>
        <v>277383.68582882499</v>
      </c>
      <c r="BE61" s="93">
        <f t="shared" si="84"/>
        <v>0</v>
      </c>
      <c r="BF61" s="93">
        <f t="shared" si="17"/>
        <v>-25216.698711711419</v>
      </c>
      <c r="BG61" s="94">
        <f t="shared" si="18"/>
        <v>1</v>
      </c>
      <c r="BH61" s="92">
        <f t="shared" si="19"/>
        <v>0</v>
      </c>
      <c r="BI61" s="95"/>
      <c r="BJ61" s="85">
        <f t="shared" si="54"/>
        <v>7595.5616</v>
      </c>
      <c r="BK61" s="85">
        <f t="shared" si="85"/>
        <v>277383.68582882499</v>
      </c>
      <c r="BL61" s="92">
        <f t="shared" si="55"/>
        <v>0</v>
      </c>
      <c r="BM61" s="92">
        <f t="shared" si="56"/>
        <v>1</v>
      </c>
      <c r="BN61" s="85">
        <f t="shared" si="57"/>
        <v>7595.5616</v>
      </c>
      <c r="BO61" s="85">
        <f t="shared" si="86"/>
        <v>277383.68582882499</v>
      </c>
      <c r="BP61" s="93">
        <f t="shared" si="87"/>
        <v>0</v>
      </c>
      <c r="BQ61" s="93">
        <f t="shared" si="23"/>
        <v>-25216.698711711419</v>
      </c>
      <c r="BR61" s="94">
        <f t="shared" si="24"/>
        <v>1</v>
      </c>
      <c r="BS61" s="92">
        <f t="shared" si="25"/>
        <v>0</v>
      </c>
      <c r="BT61" s="95"/>
      <c r="BU61" s="85">
        <f t="shared" si="58"/>
        <v>7595.5616</v>
      </c>
      <c r="BV61" s="85">
        <f t="shared" si="88"/>
        <v>277383.68582882499</v>
      </c>
      <c r="BW61" s="92">
        <f t="shared" si="59"/>
        <v>0</v>
      </c>
      <c r="BX61" s="92">
        <f t="shared" si="60"/>
        <v>1</v>
      </c>
      <c r="BY61" s="85">
        <f t="shared" si="61"/>
        <v>7595.5616</v>
      </c>
      <c r="BZ61" s="85">
        <f t="shared" si="89"/>
        <v>277383.68582882499</v>
      </c>
      <c r="CA61" s="96">
        <f t="shared" si="90"/>
        <v>0</v>
      </c>
      <c r="CB61" s="96">
        <f t="shared" si="29"/>
        <v>-25216.698711711419</v>
      </c>
      <c r="CC61" s="94">
        <f t="shared" si="30"/>
        <v>1</v>
      </c>
      <c r="CD61" s="92">
        <f t="shared" si="31"/>
        <v>0</v>
      </c>
      <c r="CE61" s="66"/>
      <c r="CF61" s="85">
        <f t="shared" si="62"/>
        <v>7961.4394266245554</v>
      </c>
      <c r="CG61" s="85">
        <f t="shared" si="91"/>
        <v>290745.24425686256</v>
      </c>
      <c r="CH61" s="92">
        <f t="shared" si="63"/>
        <v>0</v>
      </c>
      <c r="CI61" s="92">
        <f t="shared" si="64"/>
        <v>1</v>
      </c>
      <c r="CJ61" s="85">
        <f t="shared" si="65"/>
        <v>7595.5616</v>
      </c>
      <c r="CK61" s="85">
        <f t="shared" si="92"/>
        <v>277383.68582882499</v>
      </c>
      <c r="CL61" s="97">
        <f t="shared" si="34"/>
        <v>1.1000000000000001</v>
      </c>
      <c r="CM61" s="261"/>
      <c r="CN61" s="295">
        <f t="shared" si="66"/>
        <v>7747.47</v>
      </c>
      <c r="CP61" s="85">
        <f t="shared" si="67"/>
        <v>7747.47</v>
      </c>
      <c r="CQ61" s="85">
        <f t="shared" si="68"/>
        <v>6972.723</v>
      </c>
      <c r="CR61" s="85">
        <f t="shared" si="69"/>
        <v>8522.2170000000006</v>
      </c>
      <c r="CS61" s="295">
        <f t="shared" si="70"/>
        <v>8120.6682151570467</v>
      </c>
      <c r="CT61" s="295">
        <f t="shared" si="71"/>
        <v>8120.6682151570467</v>
      </c>
      <c r="CU61" s="303"/>
      <c r="CV61" s="303"/>
    </row>
    <row r="62" spans="1:100" s="153" customFormat="1" ht="15" customHeight="1" x14ac:dyDescent="0.3">
      <c r="A62" s="174">
        <v>61306</v>
      </c>
      <c r="B62" s="176" t="s">
        <v>273</v>
      </c>
      <c r="C62" s="175">
        <f>VLOOKUP($A62,'Fed Bs Rt+IME+GME+VBP+RAA+HAC'!$B$5:$AC$88,15,FALSE)</f>
        <v>6594.24</v>
      </c>
      <c r="D62" s="175">
        <f>VLOOKUP($A62,'Fed Bs Rt+IME+GME+VBP+RAA+HAC'!$B$5:$AC$88,21,FALSE)</f>
        <v>0</v>
      </c>
      <c r="E62" s="175">
        <f>VLOOKUP($A62,'Fed Bs Rt+IME+GME+VBP+RAA+HAC'!$B$5:$AC$88,25,FALSE)</f>
        <v>0</v>
      </c>
      <c r="F62" s="175">
        <f>VLOOKUP($A62,'Fed Bs Rt+IME+GME+VBP+RAA+HAC'!$B$5:$AC$88,23,FALSE)</f>
        <v>0</v>
      </c>
      <c r="G62" s="175">
        <f>VLOOKUP($A62,'Fed Bs Rt+IME+GME+VBP+RAA+HAC'!$B$5:$AC$88,28,FALSE)</f>
        <v>0</v>
      </c>
      <c r="H62" s="175">
        <f t="shared" si="35"/>
        <v>0</v>
      </c>
      <c r="I62" s="175">
        <f>VLOOKUP($A62,'Fed Bs Rt+IME+GME+VBP+RAA+HAC'!$B$5:$AC$88,16,FALSE)</f>
        <v>0</v>
      </c>
      <c r="J62" s="175">
        <f t="shared" si="36"/>
        <v>1648.56</v>
      </c>
      <c r="K62" s="175">
        <f t="shared" si="72"/>
        <v>0</v>
      </c>
      <c r="L62" s="294">
        <f>IF(OR(J62&gt;0,K62&gt;0,M62&gt;0),0,IF(VLOOKUP(A62,'Low Discharge'!A:C,3,FALSE)&lt;=L$3,L$1*C62,IF(VLOOKUP(A62,'Low Discharge'!A:C,3,FALSE)&gt;=L$2,0,(VLOOKUP(A62,'Low Discharge'!A:C,3,FALSE)-L$2)/(L$3-L$2)*L$1*C62)))</f>
        <v>0</v>
      </c>
      <c r="M62" s="170">
        <f>IF(VLOOKUP($A62,Characteristics!$A:$E,3,FALSE)=2,M$1*C62,0)</f>
        <v>0</v>
      </c>
      <c r="N62" s="170">
        <f>IF(VLOOKUP($A62,Characteristics!$A:$E,5,FALSE)&gt;=N$2,N$1*C62,IF(VLOOKUP($A62,Characteristics!$A:$E,5,FALSE)&lt;=N$3,0,(VLOOKUP($A62,Characteristics!$A:$E,5,FALSE)-N$3)/(N$2-N$3)*N$1*C62))</f>
        <v>0</v>
      </c>
      <c r="O62" s="170">
        <f>IF(VLOOKUP($A62,Characteristics!$A:$F,6,FALSE)&lt;=O$3,O$1*C62,IF(VLOOKUP($A62,Characteristics!$A:$F,6,FALSE)&gt;=O$2,0,(VLOOKUP($A62,Characteristics!$A:$F,6,FALSE)-O$2)/(O$3-O$2)*O$1*C62))</f>
        <v>1318.848</v>
      </c>
      <c r="P62" s="175">
        <f t="shared" si="73"/>
        <v>9561.6479999999992</v>
      </c>
      <c r="Q62" s="175"/>
      <c r="R62" s="85">
        <v>6736.64</v>
      </c>
      <c r="S62" s="86">
        <f t="shared" si="37"/>
        <v>6905.0559999999996</v>
      </c>
      <c r="T62" s="85">
        <f t="shared" si="74"/>
        <v>223907.14363679997</v>
      </c>
      <c r="U62" s="305">
        <v>30</v>
      </c>
      <c r="V62" s="89">
        <v>1.0808849999999999</v>
      </c>
      <c r="W62" s="90">
        <f t="shared" si="75"/>
        <v>310051.25695439999</v>
      </c>
      <c r="X62" s="98" t="s">
        <v>5</v>
      </c>
      <c r="Y62" s="85">
        <f t="shared" si="38"/>
        <v>6905.0559999999996</v>
      </c>
      <c r="Z62" s="85">
        <f t="shared" si="39"/>
        <v>6214.5504000000001</v>
      </c>
      <c r="AA62" s="85">
        <f t="shared" si="40"/>
        <v>7595.5616</v>
      </c>
      <c r="AB62" s="230"/>
      <c r="AC62" s="101"/>
      <c r="AD62" s="85">
        <f t="shared" si="41"/>
        <v>7971.8684650557852</v>
      </c>
      <c r="AE62" s="85">
        <f t="shared" si="76"/>
        <v>258500.19137555466</v>
      </c>
      <c r="AF62" s="92">
        <f t="shared" si="42"/>
        <v>0</v>
      </c>
      <c r="AG62" s="92">
        <f t="shared" si="43"/>
        <v>1</v>
      </c>
      <c r="AH62" s="85">
        <f t="shared" si="44"/>
        <v>7595.5616</v>
      </c>
      <c r="AI62" s="85">
        <f t="shared" si="77"/>
        <v>246297.85800047996</v>
      </c>
      <c r="AJ62" s="93">
        <f t="shared" si="78"/>
        <v>310051.25695439999</v>
      </c>
      <c r="AK62" s="93">
        <f t="shared" si="7"/>
        <v>223907.14363679997</v>
      </c>
      <c r="AL62" s="94">
        <f t="shared" si="45"/>
        <v>0</v>
      </c>
      <c r="AM62" s="95"/>
      <c r="AN62" s="85">
        <f t="shared" si="46"/>
        <v>7947.4752333299602</v>
      </c>
      <c r="AO62" s="85">
        <f t="shared" si="79"/>
        <v>257709.20302733561</v>
      </c>
      <c r="AP62" s="92">
        <f t="shared" si="47"/>
        <v>0</v>
      </c>
      <c r="AQ62" s="92">
        <f t="shared" si="48"/>
        <v>1</v>
      </c>
      <c r="AR62" s="85">
        <f t="shared" si="49"/>
        <v>7595.5616</v>
      </c>
      <c r="AS62" s="85">
        <f t="shared" si="80"/>
        <v>246297.85800047996</v>
      </c>
      <c r="AT62" s="93">
        <f t="shared" si="81"/>
        <v>0</v>
      </c>
      <c r="AU62" s="93">
        <f t="shared" si="11"/>
        <v>-22390.714363679988</v>
      </c>
      <c r="AV62" s="94">
        <f t="shared" si="12"/>
        <v>1</v>
      </c>
      <c r="AW62" s="92">
        <f t="shared" si="13"/>
        <v>1</v>
      </c>
      <c r="AX62" s="95"/>
      <c r="AY62" s="85">
        <f t="shared" si="50"/>
        <v>7595.5616</v>
      </c>
      <c r="AZ62" s="85">
        <f t="shared" si="82"/>
        <v>246297.85800047996</v>
      </c>
      <c r="BA62" s="92">
        <f t="shared" si="51"/>
        <v>0</v>
      </c>
      <c r="BB62" s="92">
        <f t="shared" si="52"/>
        <v>1</v>
      </c>
      <c r="BC62" s="85">
        <f t="shared" si="53"/>
        <v>7595.5616</v>
      </c>
      <c r="BD62" s="85">
        <f t="shared" si="83"/>
        <v>246297.85800047996</v>
      </c>
      <c r="BE62" s="93">
        <f t="shared" si="84"/>
        <v>0</v>
      </c>
      <c r="BF62" s="93">
        <f t="shared" si="17"/>
        <v>-22390.714363679988</v>
      </c>
      <c r="BG62" s="94">
        <f t="shared" si="18"/>
        <v>1</v>
      </c>
      <c r="BH62" s="92">
        <f t="shared" si="19"/>
        <v>0</v>
      </c>
      <c r="BI62" s="95"/>
      <c r="BJ62" s="85">
        <f t="shared" si="54"/>
        <v>7595.5616</v>
      </c>
      <c r="BK62" s="85">
        <f t="shared" si="85"/>
        <v>246297.85800047996</v>
      </c>
      <c r="BL62" s="92">
        <f t="shared" si="55"/>
        <v>0</v>
      </c>
      <c r="BM62" s="92">
        <f t="shared" si="56"/>
        <v>1</v>
      </c>
      <c r="BN62" s="85">
        <f t="shared" si="57"/>
        <v>7595.5616</v>
      </c>
      <c r="BO62" s="85">
        <f t="shared" si="86"/>
        <v>246297.85800047996</v>
      </c>
      <c r="BP62" s="93">
        <f t="shared" si="87"/>
        <v>0</v>
      </c>
      <c r="BQ62" s="93">
        <f t="shared" si="23"/>
        <v>-22390.714363679988</v>
      </c>
      <c r="BR62" s="94">
        <f t="shared" si="24"/>
        <v>1</v>
      </c>
      <c r="BS62" s="92">
        <f t="shared" si="25"/>
        <v>0</v>
      </c>
      <c r="BT62" s="95"/>
      <c r="BU62" s="85">
        <f t="shared" si="58"/>
        <v>7595.5616</v>
      </c>
      <c r="BV62" s="85">
        <f t="shared" si="88"/>
        <v>246297.85800047996</v>
      </c>
      <c r="BW62" s="92">
        <f t="shared" si="59"/>
        <v>0</v>
      </c>
      <c r="BX62" s="92">
        <f t="shared" si="60"/>
        <v>1</v>
      </c>
      <c r="BY62" s="85">
        <f t="shared" si="61"/>
        <v>7595.5616</v>
      </c>
      <c r="BZ62" s="85">
        <f t="shared" si="89"/>
        <v>246297.85800047996</v>
      </c>
      <c r="CA62" s="96">
        <f t="shared" si="90"/>
        <v>0</v>
      </c>
      <c r="CB62" s="96">
        <f t="shared" si="29"/>
        <v>-22390.714363679988</v>
      </c>
      <c r="CC62" s="94">
        <f t="shared" si="30"/>
        <v>1</v>
      </c>
      <c r="CD62" s="92">
        <f t="shared" si="31"/>
        <v>0</v>
      </c>
      <c r="CE62" s="66"/>
      <c r="CF62" s="85">
        <f t="shared" si="62"/>
        <v>7961.4394266245554</v>
      </c>
      <c r="CG62" s="85">
        <f t="shared" si="91"/>
        <v>258162.01363941244</v>
      </c>
      <c r="CH62" s="92">
        <f t="shared" si="63"/>
        <v>0</v>
      </c>
      <c r="CI62" s="92">
        <f t="shared" si="64"/>
        <v>1</v>
      </c>
      <c r="CJ62" s="85">
        <f t="shared" si="65"/>
        <v>7595.5616</v>
      </c>
      <c r="CK62" s="85">
        <f t="shared" si="92"/>
        <v>246297.85800047996</v>
      </c>
      <c r="CL62" s="97">
        <f t="shared" si="34"/>
        <v>1.1000000000000001</v>
      </c>
      <c r="CM62" s="261"/>
      <c r="CN62" s="295">
        <f t="shared" si="66"/>
        <v>7747.47</v>
      </c>
      <c r="CP62" s="85">
        <f t="shared" si="67"/>
        <v>7747.47</v>
      </c>
      <c r="CQ62" s="85">
        <f t="shared" si="68"/>
        <v>6972.723</v>
      </c>
      <c r="CR62" s="85">
        <f t="shared" si="69"/>
        <v>8522.2170000000006</v>
      </c>
      <c r="CS62" s="295">
        <f t="shared" si="70"/>
        <v>8120.6682151570467</v>
      </c>
      <c r="CT62" s="295">
        <f t="shared" si="71"/>
        <v>8120.6682151570467</v>
      </c>
      <c r="CU62" s="303"/>
      <c r="CV62" s="303"/>
    </row>
    <row r="63" spans="1:100" s="58" customFormat="1" ht="15" customHeight="1" x14ac:dyDescent="0.3">
      <c r="A63" s="176">
        <v>61307</v>
      </c>
      <c r="B63" s="176" t="s">
        <v>273</v>
      </c>
      <c r="C63" s="175">
        <f>VLOOKUP($A63,'Fed Bs Rt+IME+GME+VBP+RAA+HAC'!$B$5:$AC$88,15,FALSE)</f>
        <v>6594.24</v>
      </c>
      <c r="D63" s="175">
        <f>VLOOKUP($A63,'Fed Bs Rt+IME+GME+VBP+RAA+HAC'!$B$5:$AC$88,21,FALSE)</f>
        <v>0</v>
      </c>
      <c r="E63" s="175">
        <f>VLOOKUP($A63,'Fed Bs Rt+IME+GME+VBP+RAA+HAC'!$B$5:$AC$88,25,FALSE)</f>
        <v>0</v>
      </c>
      <c r="F63" s="175">
        <f>VLOOKUP($A63,'Fed Bs Rt+IME+GME+VBP+RAA+HAC'!$B$5:$AC$88,23,FALSE)</f>
        <v>0</v>
      </c>
      <c r="G63" s="175">
        <f>VLOOKUP($A63,'Fed Bs Rt+IME+GME+VBP+RAA+HAC'!$B$5:$AC$88,28,FALSE)</f>
        <v>0</v>
      </c>
      <c r="H63" s="175">
        <f t="shared" si="35"/>
        <v>0</v>
      </c>
      <c r="I63" s="175">
        <f>VLOOKUP($A63,'Fed Bs Rt+IME+GME+VBP+RAA+HAC'!$B$5:$AC$88,16,FALSE)</f>
        <v>0</v>
      </c>
      <c r="J63" s="175">
        <f t="shared" si="36"/>
        <v>1648.56</v>
      </c>
      <c r="K63" s="175">
        <f t="shared" si="72"/>
        <v>0</v>
      </c>
      <c r="L63" s="294">
        <f>IF(OR(J63&gt;0,K63&gt;0,M63&gt;0),0,IF(VLOOKUP(A63,'Low Discharge'!A:C,3,FALSE)&lt;=L$3,L$1*C63,IF(VLOOKUP(A63,'Low Discharge'!A:C,3,FALSE)&gt;=L$2,0,(VLOOKUP(A63,'Low Discharge'!A:C,3,FALSE)-L$2)/(L$3-L$2)*L$1*C63)))</f>
        <v>0</v>
      </c>
      <c r="M63" s="170">
        <f>IF(VLOOKUP($A63,Characteristics!$A:$E,3,FALSE)=2,M$1*C63,0)</f>
        <v>0</v>
      </c>
      <c r="N63" s="170">
        <f>IF(VLOOKUP($A63,Characteristics!$A:$E,5,FALSE)&gt;=N$2,N$1*C63,IF(VLOOKUP($A63,Characteristics!$A:$E,5,FALSE)&lt;=N$3,0,(VLOOKUP($A63,Characteristics!$A:$E,5,FALSE)-N$3)/(N$2-N$3)*N$1*C63))</f>
        <v>0</v>
      </c>
      <c r="O63" s="170">
        <f>IF(VLOOKUP($A63,Characteristics!$A:$F,6,FALSE)&lt;=O$3,O$1*C63,IF(VLOOKUP($A63,Characteristics!$A:$F,6,FALSE)&gt;=O$2,0,(VLOOKUP($A63,Characteristics!$A:$F,6,FALSE)-O$2)/(O$3-O$2)*O$1*C63))</f>
        <v>1318.848</v>
      </c>
      <c r="P63" s="175">
        <f t="shared" si="73"/>
        <v>9561.6479999999992</v>
      </c>
      <c r="Q63" s="175"/>
      <c r="R63" s="85">
        <v>6736.64</v>
      </c>
      <c r="S63" s="86">
        <f t="shared" si="37"/>
        <v>6905.0559999999996</v>
      </c>
      <c r="T63" s="85">
        <f t="shared" si="74"/>
        <v>138108.02505600001</v>
      </c>
      <c r="U63" s="305">
        <v>30</v>
      </c>
      <c r="V63" s="89">
        <v>0.66670000000000007</v>
      </c>
      <c r="W63" s="90">
        <f t="shared" si="75"/>
        <v>191242.52164800002</v>
      </c>
      <c r="X63" s="98" t="s">
        <v>5</v>
      </c>
      <c r="Y63" s="85">
        <f t="shared" si="38"/>
        <v>6905.0559999999996</v>
      </c>
      <c r="Z63" s="85">
        <f t="shared" si="39"/>
        <v>6214.5504000000001</v>
      </c>
      <c r="AA63" s="85">
        <f t="shared" si="40"/>
        <v>7595.5616</v>
      </c>
      <c r="AB63" s="230"/>
      <c r="AC63" s="101"/>
      <c r="AD63" s="85">
        <f t="shared" si="41"/>
        <v>7971.8684650557852</v>
      </c>
      <c r="AE63" s="85">
        <f t="shared" si="76"/>
        <v>159445.34116958079</v>
      </c>
      <c r="AF63" s="92">
        <f t="shared" si="42"/>
        <v>0</v>
      </c>
      <c r="AG63" s="92">
        <f t="shared" si="43"/>
        <v>1</v>
      </c>
      <c r="AH63" s="85">
        <f t="shared" si="44"/>
        <v>7595.5616</v>
      </c>
      <c r="AI63" s="85">
        <f t="shared" si="77"/>
        <v>151918.82756160002</v>
      </c>
      <c r="AJ63" s="93">
        <f t="shared" si="78"/>
        <v>191242.52164800002</v>
      </c>
      <c r="AK63" s="93">
        <f t="shared" si="7"/>
        <v>138108.02505600001</v>
      </c>
      <c r="AL63" s="94">
        <f t="shared" si="45"/>
        <v>0</v>
      </c>
      <c r="AM63" s="95"/>
      <c r="AN63" s="85">
        <f t="shared" si="46"/>
        <v>7947.4752333299602</v>
      </c>
      <c r="AO63" s="85">
        <f t="shared" si="79"/>
        <v>158957.45214183256</v>
      </c>
      <c r="AP63" s="92">
        <f t="shared" si="47"/>
        <v>0</v>
      </c>
      <c r="AQ63" s="92">
        <f t="shared" si="48"/>
        <v>1</v>
      </c>
      <c r="AR63" s="85">
        <f t="shared" si="49"/>
        <v>7595.5616</v>
      </c>
      <c r="AS63" s="85">
        <f t="shared" si="80"/>
        <v>151918.82756160002</v>
      </c>
      <c r="AT63" s="93">
        <f t="shared" si="81"/>
        <v>0</v>
      </c>
      <c r="AU63" s="93">
        <f t="shared" si="11"/>
        <v>-13810.802505600004</v>
      </c>
      <c r="AV63" s="94">
        <f t="shared" si="12"/>
        <v>1</v>
      </c>
      <c r="AW63" s="92">
        <f t="shared" si="13"/>
        <v>1</v>
      </c>
      <c r="AX63" s="95"/>
      <c r="AY63" s="85">
        <f t="shared" si="50"/>
        <v>7595.5616</v>
      </c>
      <c r="AZ63" s="85">
        <f t="shared" si="82"/>
        <v>151918.82756160002</v>
      </c>
      <c r="BA63" s="92">
        <f t="shared" si="51"/>
        <v>0</v>
      </c>
      <c r="BB63" s="92">
        <f t="shared" si="52"/>
        <v>1</v>
      </c>
      <c r="BC63" s="85">
        <f t="shared" si="53"/>
        <v>7595.5616</v>
      </c>
      <c r="BD63" s="85">
        <f t="shared" si="83"/>
        <v>151918.82756160002</v>
      </c>
      <c r="BE63" s="93">
        <f t="shared" si="84"/>
        <v>0</v>
      </c>
      <c r="BF63" s="93">
        <f t="shared" si="17"/>
        <v>-13810.802505600004</v>
      </c>
      <c r="BG63" s="94">
        <f t="shared" si="18"/>
        <v>1</v>
      </c>
      <c r="BH63" s="92">
        <f t="shared" si="19"/>
        <v>0</v>
      </c>
      <c r="BI63" s="95"/>
      <c r="BJ63" s="85">
        <f t="shared" si="54"/>
        <v>7595.5616</v>
      </c>
      <c r="BK63" s="85">
        <f t="shared" si="85"/>
        <v>151918.82756160002</v>
      </c>
      <c r="BL63" s="92">
        <f t="shared" si="55"/>
        <v>0</v>
      </c>
      <c r="BM63" s="92">
        <f t="shared" si="56"/>
        <v>1</v>
      </c>
      <c r="BN63" s="85">
        <f t="shared" si="57"/>
        <v>7595.5616</v>
      </c>
      <c r="BO63" s="85">
        <f t="shared" si="86"/>
        <v>151918.82756160002</v>
      </c>
      <c r="BP63" s="93">
        <f t="shared" si="87"/>
        <v>0</v>
      </c>
      <c r="BQ63" s="93">
        <f t="shared" si="23"/>
        <v>-13810.802505600004</v>
      </c>
      <c r="BR63" s="94">
        <f t="shared" si="24"/>
        <v>1</v>
      </c>
      <c r="BS63" s="92">
        <f t="shared" si="25"/>
        <v>0</v>
      </c>
      <c r="BT63" s="95"/>
      <c r="BU63" s="85">
        <f t="shared" si="58"/>
        <v>7595.5616</v>
      </c>
      <c r="BV63" s="85">
        <f t="shared" si="88"/>
        <v>151918.82756160002</v>
      </c>
      <c r="BW63" s="92">
        <f t="shared" si="59"/>
        <v>0</v>
      </c>
      <c r="BX63" s="92">
        <f t="shared" si="60"/>
        <v>1</v>
      </c>
      <c r="BY63" s="85">
        <f t="shared" si="61"/>
        <v>7595.5616</v>
      </c>
      <c r="BZ63" s="85">
        <f t="shared" si="89"/>
        <v>151918.82756160002</v>
      </c>
      <c r="CA63" s="96">
        <f t="shared" si="90"/>
        <v>0</v>
      </c>
      <c r="CB63" s="96">
        <f t="shared" si="29"/>
        <v>-13810.802505600004</v>
      </c>
      <c r="CC63" s="94">
        <f t="shared" si="30"/>
        <v>1</v>
      </c>
      <c r="CD63" s="92">
        <f t="shared" si="31"/>
        <v>0</v>
      </c>
      <c r="CE63" s="66"/>
      <c r="CF63" s="85">
        <f t="shared" si="62"/>
        <v>7961.4394266245554</v>
      </c>
      <c r="CG63" s="85">
        <f t="shared" si="91"/>
        <v>159236.74997191774</v>
      </c>
      <c r="CH63" s="92">
        <f t="shared" si="63"/>
        <v>0</v>
      </c>
      <c r="CI63" s="92">
        <f t="shared" si="64"/>
        <v>1</v>
      </c>
      <c r="CJ63" s="85">
        <f t="shared" si="65"/>
        <v>7595.5616</v>
      </c>
      <c r="CK63" s="85">
        <f t="shared" si="92"/>
        <v>151918.82756160002</v>
      </c>
      <c r="CL63" s="97">
        <f t="shared" si="34"/>
        <v>1.1000000000000001</v>
      </c>
      <c r="CM63" s="261"/>
      <c r="CN63" s="295">
        <f t="shared" si="66"/>
        <v>7747.47</v>
      </c>
      <c r="CP63" s="85">
        <f t="shared" si="67"/>
        <v>7747.47</v>
      </c>
      <c r="CQ63" s="85">
        <f t="shared" si="68"/>
        <v>6972.723</v>
      </c>
      <c r="CR63" s="85">
        <f t="shared" si="69"/>
        <v>8522.2170000000006</v>
      </c>
      <c r="CS63" s="295">
        <f t="shared" si="70"/>
        <v>8120.6682151570467</v>
      </c>
      <c r="CT63" s="295">
        <f t="shared" si="71"/>
        <v>8120.6682151570467</v>
      </c>
      <c r="CU63" s="303"/>
      <c r="CV63" s="303"/>
    </row>
    <row r="64" spans="1:100" s="58" customFormat="1" ht="15" customHeight="1" x14ac:dyDescent="0.3">
      <c r="A64" s="176">
        <v>61308</v>
      </c>
      <c r="B64" s="176" t="s">
        <v>273</v>
      </c>
      <c r="C64" s="175">
        <f>VLOOKUP($A64,'Fed Bs Rt+IME+GME+VBP+RAA+HAC'!$B$5:$AC$88,15,FALSE)</f>
        <v>6594.24</v>
      </c>
      <c r="D64" s="175">
        <f>VLOOKUP($A64,'Fed Bs Rt+IME+GME+VBP+RAA+HAC'!$B$5:$AC$88,21,FALSE)</f>
        <v>0</v>
      </c>
      <c r="E64" s="175">
        <f>VLOOKUP($A64,'Fed Bs Rt+IME+GME+VBP+RAA+HAC'!$B$5:$AC$88,25,FALSE)</f>
        <v>0</v>
      </c>
      <c r="F64" s="175">
        <f>VLOOKUP($A64,'Fed Bs Rt+IME+GME+VBP+RAA+HAC'!$B$5:$AC$88,23,FALSE)</f>
        <v>0</v>
      </c>
      <c r="G64" s="175">
        <f>VLOOKUP($A64,'Fed Bs Rt+IME+GME+VBP+RAA+HAC'!$B$5:$AC$88,28,FALSE)</f>
        <v>0</v>
      </c>
      <c r="H64" s="175">
        <f t="shared" si="35"/>
        <v>0</v>
      </c>
      <c r="I64" s="175">
        <f>VLOOKUP($A64,'Fed Bs Rt+IME+GME+VBP+RAA+HAC'!$B$5:$AC$88,16,FALSE)</f>
        <v>0</v>
      </c>
      <c r="J64" s="175">
        <f t="shared" si="36"/>
        <v>1648.56</v>
      </c>
      <c r="K64" s="175">
        <f t="shared" si="72"/>
        <v>0</v>
      </c>
      <c r="L64" s="294">
        <f>IF(OR(J64&gt;0,K64&gt;0,M64&gt;0),0,IF(VLOOKUP(A64,'Low Discharge'!A:C,3,FALSE)&lt;=L$3,L$1*C64,IF(VLOOKUP(A64,'Low Discharge'!A:C,3,FALSE)&gt;=L$2,0,(VLOOKUP(A64,'Low Discharge'!A:C,3,FALSE)-L$2)/(L$3-L$2)*L$1*C64)))</f>
        <v>0</v>
      </c>
      <c r="M64" s="170">
        <f>IF(VLOOKUP($A64,Characteristics!$A:$E,3,FALSE)=2,M$1*C64,0)</f>
        <v>0</v>
      </c>
      <c r="N64" s="170">
        <f>IF(VLOOKUP($A64,Characteristics!$A:$E,5,FALSE)&gt;=N$2,N$1*C64,IF(VLOOKUP($A64,Characteristics!$A:$E,5,FALSE)&lt;=N$3,0,(VLOOKUP($A64,Characteristics!$A:$E,5,FALSE)-N$3)/(N$2-N$3)*N$1*C64))</f>
        <v>0</v>
      </c>
      <c r="O64" s="170">
        <f>IF(VLOOKUP($A64,Characteristics!$A:$F,6,FALSE)&lt;=O$3,O$1*C64,IF(VLOOKUP($A64,Characteristics!$A:$F,6,FALSE)&gt;=O$2,0,(VLOOKUP($A64,Characteristics!$A:$F,6,FALSE)-O$2)/(O$3-O$2)*O$1*C64))</f>
        <v>54.712683554795646</v>
      </c>
      <c r="P64" s="175">
        <f t="shared" si="73"/>
        <v>8297.5126835547944</v>
      </c>
      <c r="Q64" s="175"/>
      <c r="R64" s="85">
        <v>6736.64</v>
      </c>
      <c r="S64" s="86">
        <f t="shared" si="37"/>
        <v>6905.0559999999996</v>
      </c>
      <c r="T64" s="85">
        <f t="shared" si="74"/>
        <v>190850.72598109089</v>
      </c>
      <c r="U64" s="305">
        <v>30</v>
      </c>
      <c r="V64" s="89">
        <v>0.92130909090909086</v>
      </c>
      <c r="W64" s="90">
        <f t="shared" si="75"/>
        <v>229337.21601877554</v>
      </c>
      <c r="X64" s="98" t="s">
        <v>5</v>
      </c>
      <c r="Y64" s="85">
        <f t="shared" si="38"/>
        <v>6905.0559999999996</v>
      </c>
      <c r="Z64" s="85">
        <f t="shared" si="39"/>
        <v>6214.5504000000001</v>
      </c>
      <c r="AA64" s="85">
        <f t="shared" si="40"/>
        <v>7595.5616</v>
      </c>
      <c r="AB64" s="230"/>
      <c r="AC64" s="101"/>
      <c r="AD64" s="85">
        <f t="shared" si="41"/>
        <v>6917.9162107233888</v>
      </c>
      <c r="AE64" s="85">
        <f t="shared" si="76"/>
        <v>191206.17285260485</v>
      </c>
      <c r="AF64" s="92">
        <f t="shared" si="42"/>
        <v>0</v>
      </c>
      <c r="AG64" s="92">
        <f t="shared" si="43"/>
        <v>0</v>
      </c>
      <c r="AH64" s="85">
        <f t="shared" si="44"/>
        <v>6917.9162107233888</v>
      </c>
      <c r="AI64" s="85">
        <f t="shared" si="77"/>
        <v>191206.17285260485</v>
      </c>
      <c r="AJ64" s="93">
        <f t="shared" si="78"/>
        <v>229337.21601877554</v>
      </c>
      <c r="AK64" s="93">
        <f t="shared" si="7"/>
        <v>190850.72598109089</v>
      </c>
      <c r="AL64" s="94">
        <f t="shared" si="45"/>
        <v>0</v>
      </c>
      <c r="AM64" s="95"/>
      <c r="AN64" s="85">
        <f t="shared" si="46"/>
        <v>6896.747982229941</v>
      </c>
      <c r="AO64" s="85">
        <f t="shared" si="79"/>
        <v>190621.09841212121</v>
      </c>
      <c r="AP64" s="92">
        <f t="shared" si="47"/>
        <v>0</v>
      </c>
      <c r="AQ64" s="92">
        <f t="shared" si="48"/>
        <v>0</v>
      </c>
      <c r="AR64" s="85">
        <f t="shared" si="49"/>
        <v>6896.747982229941</v>
      </c>
      <c r="AS64" s="85">
        <f t="shared" si="80"/>
        <v>190621.09841212121</v>
      </c>
      <c r="AT64" s="93">
        <f t="shared" si="81"/>
        <v>229337.21601877554</v>
      </c>
      <c r="AU64" s="93">
        <f t="shared" si="11"/>
        <v>190850.72598109089</v>
      </c>
      <c r="AV64" s="94">
        <f t="shared" si="12"/>
        <v>0</v>
      </c>
      <c r="AW64" s="92">
        <f t="shared" si="13"/>
        <v>0</v>
      </c>
      <c r="AX64" s="95"/>
      <c r="AY64" s="85">
        <f t="shared" si="50"/>
        <v>6908.8659843753358</v>
      </c>
      <c r="AZ64" s="85">
        <f t="shared" si="82"/>
        <v>190956.03117832745</v>
      </c>
      <c r="BA64" s="92">
        <f t="shared" si="51"/>
        <v>0</v>
      </c>
      <c r="BB64" s="92">
        <f t="shared" si="52"/>
        <v>0</v>
      </c>
      <c r="BC64" s="85">
        <f t="shared" si="53"/>
        <v>6908.8659843753358</v>
      </c>
      <c r="BD64" s="85">
        <f t="shared" si="83"/>
        <v>190956.03117832745</v>
      </c>
      <c r="BE64" s="93">
        <f t="shared" si="84"/>
        <v>229337.21601877554</v>
      </c>
      <c r="BF64" s="93">
        <f t="shared" si="17"/>
        <v>190850.72598109089</v>
      </c>
      <c r="BG64" s="94">
        <f t="shared" si="18"/>
        <v>0</v>
      </c>
      <c r="BH64" s="92">
        <f t="shared" si="19"/>
        <v>0</v>
      </c>
      <c r="BI64" s="95"/>
      <c r="BJ64" s="85">
        <f t="shared" si="54"/>
        <v>6908.8659843753358</v>
      </c>
      <c r="BK64" s="85">
        <f t="shared" si="85"/>
        <v>190956.03117832745</v>
      </c>
      <c r="BL64" s="92">
        <f t="shared" si="55"/>
        <v>0</v>
      </c>
      <c r="BM64" s="92">
        <f t="shared" si="56"/>
        <v>0</v>
      </c>
      <c r="BN64" s="85">
        <f t="shared" si="57"/>
        <v>6908.8659843753358</v>
      </c>
      <c r="BO64" s="85">
        <f t="shared" si="86"/>
        <v>190956.03117832745</v>
      </c>
      <c r="BP64" s="93">
        <f t="shared" si="87"/>
        <v>229337.21601877554</v>
      </c>
      <c r="BQ64" s="93">
        <f t="shared" si="23"/>
        <v>190850.72598109089</v>
      </c>
      <c r="BR64" s="94">
        <f t="shared" si="24"/>
        <v>0</v>
      </c>
      <c r="BS64" s="92">
        <f t="shared" si="25"/>
        <v>0</v>
      </c>
      <c r="BT64" s="95"/>
      <c r="BU64" s="85">
        <f t="shared" si="58"/>
        <v>6908.8659843753358</v>
      </c>
      <c r="BV64" s="85">
        <f t="shared" si="88"/>
        <v>190956.03117832745</v>
      </c>
      <c r="BW64" s="92">
        <f t="shared" si="59"/>
        <v>0</v>
      </c>
      <c r="BX64" s="92">
        <f t="shared" si="60"/>
        <v>0</v>
      </c>
      <c r="BY64" s="85">
        <f t="shared" si="61"/>
        <v>6908.8659843753358</v>
      </c>
      <c r="BZ64" s="85">
        <f t="shared" si="89"/>
        <v>190956.03117832745</v>
      </c>
      <c r="CA64" s="96">
        <f t="shared" si="90"/>
        <v>229337.21601877554</v>
      </c>
      <c r="CB64" s="96">
        <f t="shared" si="29"/>
        <v>190850.72598109089</v>
      </c>
      <c r="CC64" s="94">
        <f t="shared" si="30"/>
        <v>0</v>
      </c>
      <c r="CD64" s="92">
        <f t="shared" si="31"/>
        <v>0</v>
      </c>
      <c r="CE64" s="66"/>
      <c r="CF64" s="85">
        <f t="shared" si="62"/>
        <v>6908.8659843753358</v>
      </c>
      <c r="CG64" s="85">
        <f t="shared" si="91"/>
        <v>190956.03117832745</v>
      </c>
      <c r="CH64" s="92">
        <f t="shared" si="63"/>
        <v>0</v>
      </c>
      <c r="CI64" s="92">
        <f t="shared" si="64"/>
        <v>0</v>
      </c>
      <c r="CJ64" s="85">
        <f t="shared" si="65"/>
        <v>6908.8659843753358</v>
      </c>
      <c r="CK64" s="85">
        <f t="shared" si="92"/>
        <v>190956.03117832745</v>
      </c>
      <c r="CL64" s="97">
        <f t="shared" si="34"/>
        <v>1.0005517673390825</v>
      </c>
      <c r="CM64" s="261"/>
      <c r="CN64" s="295">
        <f t="shared" si="66"/>
        <v>7047.04</v>
      </c>
      <c r="CP64" s="85">
        <f t="shared" si="67"/>
        <v>7047.04</v>
      </c>
      <c r="CQ64" s="85">
        <f t="shared" si="68"/>
        <v>6342.3360000000002</v>
      </c>
      <c r="CR64" s="85">
        <f t="shared" si="69"/>
        <v>7751.7440000000006</v>
      </c>
      <c r="CS64" s="295">
        <f t="shared" si="70"/>
        <v>7047.0433040628423</v>
      </c>
      <c r="CT64" s="295">
        <f t="shared" si="71"/>
        <v>7047.0433040628423</v>
      </c>
      <c r="CU64" s="303"/>
      <c r="CV64" s="303"/>
    </row>
    <row r="65" spans="1:100" s="153" customFormat="1" ht="15" customHeight="1" x14ac:dyDescent="0.3">
      <c r="A65" s="174">
        <v>61309</v>
      </c>
      <c r="B65" s="176" t="s">
        <v>273</v>
      </c>
      <c r="C65" s="175">
        <f>VLOOKUP($A65,'Fed Bs Rt+IME+GME+VBP+RAA+HAC'!$B$5:$AC$88,15,FALSE)</f>
        <v>6594.24</v>
      </c>
      <c r="D65" s="175">
        <f>VLOOKUP($A65,'Fed Bs Rt+IME+GME+VBP+RAA+HAC'!$B$5:$AC$88,21,FALSE)</f>
        <v>0</v>
      </c>
      <c r="E65" s="175">
        <f>VLOOKUP($A65,'Fed Bs Rt+IME+GME+VBP+RAA+HAC'!$B$5:$AC$88,25,FALSE)</f>
        <v>0</v>
      </c>
      <c r="F65" s="175">
        <f>VLOOKUP($A65,'Fed Bs Rt+IME+GME+VBP+RAA+HAC'!$B$5:$AC$88,23,FALSE)</f>
        <v>0</v>
      </c>
      <c r="G65" s="175">
        <f>VLOOKUP($A65,'Fed Bs Rt+IME+GME+VBP+RAA+HAC'!$B$5:$AC$88,28,FALSE)</f>
        <v>0</v>
      </c>
      <c r="H65" s="175">
        <f t="shared" si="35"/>
        <v>0</v>
      </c>
      <c r="I65" s="175">
        <f>VLOOKUP($A65,'Fed Bs Rt+IME+GME+VBP+RAA+HAC'!$B$5:$AC$88,16,FALSE)</f>
        <v>10.150765123456791</v>
      </c>
      <c r="J65" s="175">
        <f t="shared" si="36"/>
        <v>1648.56</v>
      </c>
      <c r="K65" s="175">
        <f t="shared" si="72"/>
        <v>0</v>
      </c>
      <c r="L65" s="294">
        <f>IF(OR(J65&gt;0,K65&gt;0,M65&gt;0),0,IF(VLOOKUP(A65,'Low Discharge'!A:C,3,FALSE)&lt;=L$3,L$1*C65,IF(VLOOKUP(A65,'Low Discharge'!A:C,3,FALSE)&gt;=L$2,0,(VLOOKUP(A65,'Low Discharge'!A:C,3,FALSE)-L$2)/(L$3-L$2)*L$1*C65)))</f>
        <v>0</v>
      </c>
      <c r="M65" s="170">
        <f>IF(VLOOKUP($A65,Characteristics!$A:$E,3,FALSE)=2,M$1*C65,0)</f>
        <v>0</v>
      </c>
      <c r="N65" s="170">
        <f>IF(VLOOKUP($A65,Characteristics!$A:$E,5,FALSE)&gt;=N$2,N$1*C65,IF(VLOOKUP($A65,Characteristics!$A:$E,5,FALSE)&lt;=N$3,0,(VLOOKUP($A65,Characteristics!$A:$E,5,FALSE)-N$3)/(N$2-N$3)*N$1*C65))</f>
        <v>0</v>
      </c>
      <c r="O65" s="170">
        <f>IF(VLOOKUP($A65,Characteristics!$A:$F,6,FALSE)&lt;=O$3,O$1*C65,IF(VLOOKUP($A65,Characteristics!$A:$F,6,FALSE)&gt;=O$2,0,(VLOOKUP($A65,Characteristics!$A:$F,6,FALSE)-O$2)/(O$3-O$2)*O$1*C65))</f>
        <v>1268.5135243943459</v>
      </c>
      <c r="P65" s="175">
        <f t="shared" si="73"/>
        <v>9521.4642895178022</v>
      </c>
      <c r="Q65" s="175"/>
      <c r="R65" s="85">
        <v>6796.27</v>
      </c>
      <c r="S65" s="86">
        <f t="shared" si="37"/>
        <v>6966.1767499999996</v>
      </c>
      <c r="T65" s="85">
        <f t="shared" si="74"/>
        <v>349788.13648065791</v>
      </c>
      <c r="U65" s="88">
        <v>90.577200000000005</v>
      </c>
      <c r="V65" s="89">
        <v>0.55435975609756105</v>
      </c>
      <c r="W65" s="90">
        <f t="shared" si="75"/>
        <v>478095.1402643586</v>
      </c>
      <c r="X65" s="104" t="s">
        <v>5</v>
      </c>
      <c r="Y65" s="85">
        <f t="shared" si="38"/>
        <v>6966.1767499999996</v>
      </c>
      <c r="Z65" s="85">
        <f t="shared" si="39"/>
        <v>6269.5590750000001</v>
      </c>
      <c r="AA65" s="85">
        <f t="shared" si="40"/>
        <v>7662.794425</v>
      </c>
      <c r="AB65" s="230"/>
      <c r="AC65" s="102"/>
      <c r="AD65" s="85">
        <f t="shared" si="41"/>
        <v>7938.3659501753</v>
      </c>
      <c r="AE65" s="85">
        <f t="shared" si="76"/>
        <v>398604.04524093156</v>
      </c>
      <c r="AF65" s="92">
        <f t="shared" si="42"/>
        <v>0</v>
      </c>
      <c r="AG65" s="92">
        <f t="shared" si="43"/>
        <v>1</v>
      </c>
      <c r="AH65" s="85">
        <f t="shared" si="44"/>
        <v>7662.794425</v>
      </c>
      <c r="AI65" s="85">
        <f t="shared" si="77"/>
        <v>384766.95012872375</v>
      </c>
      <c r="AJ65" s="93">
        <f t="shared" si="78"/>
        <v>478095.1402643586</v>
      </c>
      <c r="AK65" s="93">
        <f t="shared" si="7"/>
        <v>349788.13648065791</v>
      </c>
      <c r="AL65" s="94">
        <f t="shared" si="45"/>
        <v>0</v>
      </c>
      <c r="AM65" s="95"/>
      <c r="AN65" s="85">
        <f t="shared" si="46"/>
        <v>7914.0752332629672</v>
      </c>
      <c r="AO65" s="85">
        <f t="shared" si="79"/>
        <v>397384.35115227039</v>
      </c>
      <c r="AP65" s="92">
        <f t="shared" si="47"/>
        <v>0</v>
      </c>
      <c r="AQ65" s="92">
        <f t="shared" si="48"/>
        <v>1</v>
      </c>
      <c r="AR65" s="85">
        <f t="shared" si="49"/>
        <v>7662.794425</v>
      </c>
      <c r="AS65" s="85">
        <f t="shared" si="80"/>
        <v>384766.95012872375</v>
      </c>
      <c r="AT65" s="93">
        <f t="shared" si="81"/>
        <v>0</v>
      </c>
      <c r="AU65" s="93">
        <f t="shared" si="11"/>
        <v>-34978.813648065843</v>
      </c>
      <c r="AV65" s="94">
        <f t="shared" si="12"/>
        <v>1</v>
      </c>
      <c r="AW65" s="92">
        <f t="shared" si="13"/>
        <v>1</v>
      </c>
      <c r="AX65" s="95"/>
      <c r="AY65" s="85">
        <f t="shared" si="50"/>
        <v>7662.794425</v>
      </c>
      <c r="AZ65" s="85">
        <f t="shared" si="82"/>
        <v>384766.95012872375</v>
      </c>
      <c r="BA65" s="92">
        <f t="shared" si="51"/>
        <v>0</v>
      </c>
      <c r="BB65" s="92">
        <f t="shared" si="52"/>
        <v>1</v>
      </c>
      <c r="BC65" s="85">
        <f t="shared" si="53"/>
        <v>7662.794425</v>
      </c>
      <c r="BD65" s="85">
        <f t="shared" si="83"/>
        <v>384766.95012872375</v>
      </c>
      <c r="BE65" s="93">
        <f t="shared" si="84"/>
        <v>0</v>
      </c>
      <c r="BF65" s="93">
        <f t="shared" si="17"/>
        <v>-34978.813648065843</v>
      </c>
      <c r="BG65" s="94">
        <f t="shared" si="18"/>
        <v>1</v>
      </c>
      <c r="BH65" s="92">
        <f t="shared" si="19"/>
        <v>0</v>
      </c>
      <c r="BI65" s="95"/>
      <c r="BJ65" s="85">
        <f t="shared" si="54"/>
        <v>7662.794425</v>
      </c>
      <c r="BK65" s="85">
        <f t="shared" si="85"/>
        <v>384766.95012872375</v>
      </c>
      <c r="BL65" s="92">
        <f t="shared" si="55"/>
        <v>0</v>
      </c>
      <c r="BM65" s="92">
        <f t="shared" si="56"/>
        <v>1</v>
      </c>
      <c r="BN65" s="85">
        <f t="shared" si="57"/>
        <v>7662.794425</v>
      </c>
      <c r="BO65" s="85">
        <f t="shared" si="86"/>
        <v>384766.95012872375</v>
      </c>
      <c r="BP65" s="93">
        <f t="shared" si="87"/>
        <v>0</v>
      </c>
      <c r="BQ65" s="93">
        <f t="shared" si="23"/>
        <v>-34978.813648065843</v>
      </c>
      <c r="BR65" s="94">
        <f t="shared" si="24"/>
        <v>1</v>
      </c>
      <c r="BS65" s="92">
        <f t="shared" si="25"/>
        <v>0</v>
      </c>
      <c r="BT65" s="95"/>
      <c r="BU65" s="85">
        <f t="shared" si="58"/>
        <v>7662.794425</v>
      </c>
      <c r="BV65" s="85">
        <f t="shared" si="88"/>
        <v>384766.95012872375</v>
      </c>
      <c r="BW65" s="92">
        <f t="shared" si="59"/>
        <v>0</v>
      </c>
      <c r="BX65" s="92">
        <f t="shared" si="60"/>
        <v>1</v>
      </c>
      <c r="BY65" s="85">
        <f t="shared" si="61"/>
        <v>7662.794425</v>
      </c>
      <c r="BZ65" s="85">
        <f t="shared" si="89"/>
        <v>384766.95012872375</v>
      </c>
      <c r="CA65" s="96">
        <f t="shared" si="90"/>
        <v>0</v>
      </c>
      <c r="CB65" s="96">
        <f t="shared" si="29"/>
        <v>-34978.813648065843</v>
      </c>
      <c r="CC65" s="94">
        <f t="shared" si="30"/>
        <v>1</v>
      </c>
      <c r="CD65" s="92">
        <f t="shared" si="31"/>
        <v>0</v>
      </c>
      <c r="CE65" s="66"/>
      <c r="CF65" s="85">
        <f t="shared" si="62"/>
        <v>7927.9807407431017</v>
      </c>
      <c r="CG65" s="85">
        <f t="shared" si="91"/>
        <v>398082.5794233653</v>
      </c>
      <c r="CH65" s="92">
        <f t="shared" si="63"/>
        <v>0</v>
      </c>
      <c r="CI65" s="92">
        <f t="shared" si="64"/>
        <v>1</v>
      </c>
      <c r="CJ65" s="85">
        <f t="shared" si="65"/>
        <v>7662.794425</v>
      </c>
      <c r="CK65" s="85">
        <f t="shared" si="92"/>
        <v>384766.95012872375</v>
      </c>
      <c r="CL65" s="97">
        <f t="shared" si="34"/>
        <v>1.1000000000000001</v>
      </c>
      <c r="CM65" s="261"/>
      <c r="CN65" s="295">
        <f t="shared" si="66"/>
        <v>7816.05</v>
      </c>
      <c r="CP65" s="85">
        <f t="shared" si="67"/>
        <v>7816.05</v>
      </c>
      <c r="CQ65" s="85">
        <f t="shared" si="68"/>
        <v>7034.4450000000006</v>
      </c>
      <c r="CR65" s="85">
        <f t="shared" si="69"/>
        <v>8597.6550000000007</v>
      </c>
      <c r="CS65" s="295">
        <f t="shared" si="70"/>
        <v>8086.5403555579642</v>
      </c>
      <c r="CT65" s="295">
        <f t="shared" si="71"/>
        <v>8086.5403555579642</v>
      </c>
      <c r="CU65" s="303"/>
      <c r="CV65" s="303"/>
    </row>
    <row r="66" spans="1:100" s="153" customFormat="1" ht="15" customHeight="1" x14ac:dyDescent="0.3">
      <c r="A66" s="174">
        <v>61310</v>
      </c>
      <c r="B66" s="176" t="s">
        <v>273</v>
      </c>
      <c r="C66" s="175">
        <f>VLOOKUP($A66,'Fed Bs Rt+IME+GME+VBP+RAA+HAC'!$B$5:$AC$88,15,FALSE)</f>
        <v>6594.24</v>
      </c>
      <c r="D66" s="175">
        <f>VLOOKUP($A66,'Fed Bs Rt+IME+GME+VBP+RAA+HAC'!$B$5:$AC$88,21,FALSE)</f>
        <v>0</v>
      </c>
      <c r="E66" s="175">
        <f>VLOOKUP($A66,'Fed Bs Rt+IME+GME+VBP+RAA+HAC'!$B$5:$AC$88,25,FALSE)</f>
        <v>0</v>
      </c>
      <c r="F66" s="175">
        <f>VLOOKUP($A66,'Fed Bs Rt+IME+GME+VBP+RAA+HAC'!$B$5:$AC$88,23,FALSE)</f>
        <v>0</v>
      </c>
      <c r="G66" s="175">
        <f>VLOOKUP($A66,'Fed Bs Rt+IME+GME+VBP+RAA+HAC'!$B$5:$AC$88,28,FALSE)</f>
        <v>0</v>
      </c>
      <c r="H66" s="175">
        <f t="shared" si="35"/>
        <v>0</v>
      </c>
      <c r="I66" s="175">
        <f>VLOOKUP($A66,'Fed Bs Rt+IME+GME+VBP+RAA+HAC'!$B$5:$AC$88,16,FALSE)</f>
        <v>0</v>
      </c>
      <c r="J66" s="175">
        <f t="shared" si="36"/>
        <v>1648.56</v>
      </c>
      <c r="K66" s="175">
        <f t="shared" si="72"/>
        <v>0</v>
      </c>
      <c r="L66" s="294">
        <f>IF(OR(J66&gt;0,K66&gt;0,M66&gt;0),0,IF(VLOOKUP(A66,'Low Discharge'!A:C,3,FALSE)&lt;=L$3,L$1*C66,IF(VLOOKUP(A66,'Low Discharge'!A:C,3,FALSE)&gt;=L$2,0,(VLOOKUP(A66,'Low Discharge'!A:C,3,FALSE)-L$2)/(L$3-L$2)*L$1*C66)))</f>
        <v>0</v>
      </c>
      <c r="M66" s="170">
        <f>IF(VLOOKUP($A66,Characteristics!$A:$E,3,FALSE)=2,M$1*C66,0)</f>
        <v>0</v>
      </c>
      <c r="N66" s="170">
        <f>IF(VLOOKUP($A66,Characteristics!$A:$E,5,FALSE)&gt;=N$2,N$1*C66,IF(VLOOKUP($A66,Characteristics!$A:$E,5,FALSE)&lt;=N$3,0,(VLOOKUP($A66,Characteristics!$A:$E,5,FALSE)-N$3)/(N$2-N$3)*N$1*C66))</f>
        <v>0</v>
      </c>
      <c r="O66" s="170">
        <f>IF(VLOOKUP($A66,Characteristics!$A:$F,6,FALSE)&lt;=O$3,O$1*C66,IF(VLOOKUP($A66,Characteristics!$A:$F,6,FALSE)&gt;=O$2,0,(VLOOKUP($A66,Characteristics!$A:$F,6,FALSE)-O$2)/(O$3-O$2)*O$1*C66))</f>
        <v>0</v>
      </c>
      <c r="P66" s="175">
        <f t="shared" si="73"/>
        <v>8242.7999999999993</v>
      </c>
      <c r="Q66" s="175"/>
      <c r="R66" s="85">
        <v>6797.09</v>
      </c>
      <c r="S66" s="86">
        <f t="shared" si="37"/>
        <v>6967.0172499999999</v>
      </c>
      <c r="T66" s="85">
        <f t="shared" si="74"/>
        <v>155942.74710675</v>
      </c>
      <c r="U66" s="305">
        <v>30</v>
      </c>
      <c r="V66" s="89">
        <v>0.74609999999999999</v>
      </c>
      <c r="W66" s="90">
        <f t="shared" si="75"/>
        <v>184498.59239999996</v>
      </c>
      <c r="X66" s="98" t="s">
        <v>5</v>
      </c>
      <c r="Y66" s="85">
        <f t="shared" si="38"/>
        <v>6967.0172499999999</v>
      </c>
      <c r="Z66" s="85">
        <f t="shared" si="39"/>
        <v>6270.315525</v>
      </c>
      <c r="AA66" s="85">
        <f t="shared" si="40"/>
        <v>7663.7189750000007</v>
      </c>
      <c r="AB66" s="230"/>
      <c r="AC66" s="101"/>
      <c r="AD66" s="85">
        <f t="shared" si="41"/>
        <v>6872.3004009101596</v>
      </c>
      <c r="AE66" s="85">
        <f t="shared" si="76"/>
        <v>153822.6998735721</v>
      </c>
      <c r="AF66" s="92">
        <f t="shared" si="42"/>
        <v>0</v>
      </c>
      <c r="AG66" s="92">
        <f t="shared" si="43"/>
        <v>0</v>
      </c>
      <c r="AH66" s="85">
        <f t="shared" si="44"/>
        <v>6872.3004009101596</v>
      </c>
      <c r="AI66" s="85">
        <f t="shared" si="77"/>
        <v>153822.6998735721</v>
      </c>
      <c r="AJ66" s="93">
        <f t="shared" si="78"/>
        <v>184498.59239999996</v>
      </c>
      <c r="AK66" s="93">
        <f t="shared" si="7"/>
        <v>155942.74710675</v>
      </c>
      <c r="AL66" s="94">
        <f t="shared" si="45"/>
        <v>0</v>
      </c>
      <c r="AM66" s="95"/>
      <c r="AN66" s="85">
        <f t="shared" si="46"/>
        <v>6851.2717528706553</v>
      </c>
      <c r="AO66" s="85">
        <f t="shared" si="79"/>
        <v>153352.01564450387</v>
      </c>
      <c r="AP66" s="92">
        <f t="shared" si="47"/>
        <v>0</v>
      </c>
      <c r="AQ66" s="92">
        <f t="shared" si="48"/>
        <v>0</v>
      </c>
      <c r="AR66" s="85">
        <f t="shared" si="49"/>
        <v>6851.2717528706553</v>
      </c>
      <c r="AS66" s="85">
        <f t="shared" si="80"/>
        <v>153352.01564450387</v>
      </c>
      <c r="AT66" s="93">
        <f t="shared" si="81"/>
        <v>184498.59239999996</v>
      </c>
      <c r="AU66" s="93">
        <f t="shared" si="11"/>
        <v>155942.74710675</v>
      </c>
      <c r="AV66" s="94">
        <f t="shared" si="12"/>
        <v>0</v>
      </c>
      <c r="AW66" s="92">
        <f t="shared" si="13"/>
        <v>0</v>
      </c>
      <c r="AX66" s="95"/>
      <c r="AY66" s="85">
        <f t="shared" si="50"/>
        <v>6863.3098505384096</v>
      </c>
      <c r="AZ66" s="85">
        <f t="shared" si="82"/>
        <v>153621.46438460122</v>
      </c>
      <c r="BA66" s="92">
        <f t="shared" si="51"/>
        <v>0</v>
      </c>
      <c r="BB66" s="92">
        <f t="shared" si="52"/>
        <v>0</v>
      </c>
      <c r="BC66" s="85">
        <f t="shared" si="53"/>
        <v>6863.3098505384096</v>
      </c>
      <c r="BD66" s="85">
        <f t="shared" si="83"/>
        <v>153621.46438460122</v>
      </c>
      <c r="BE66" s="93">
        <f t="shared" si="84"/>
        <v>184498.59239999996</v>
      </c>
      <c r="BF66" s="93">
        <f t="shared" si="17"/>
        <v>155942.74710675</v>
      </c>
      <c r="BG66" s="94">
        <f t="shared" si="18"/>
        <v>0</v>
      </c>
      <c r="BH66" s="92">
        <f t="shared" si="19"/>
        <v>0</v>
      </c>
      <c r="BI66" s="95"/>
      <c r="BJ66" s="85">
        <f t="shared" si="54"/>
        <v>6863.3098505384096</v>
      </c>
      <c r="BK66" s="85">
        <f t="shared" si="85"/>
        <v>153621.46438460122</v>
      </c>
      <c r="BL66" s="92">
        <f t="shared" si="55"/>
        <v>0</v>
      </c>
      <c r="BM66" s="92">
        <f t="shared" si="56"/>
        <v>0</v>
      </c>
      <c r="BN66" s="85">
        <f t="shared" si="57"/>
        <v>6863.3098505384096</v>
      </c>
      <c r="BO66" s="85">
        <f t="shared" si="86"/>
        <v>153621.46438460122</v>
      </c>
      <c r="BP66" s="93">
        <f t="shared" si="87"/>
        <v>184498.59239999996</v>
      </c>
      <c r="BQ66" s="93">
        <f t="shared" si="23"/>
        <v>155942.74710675</v>
      </c>
      <c r="BR66" s="94">
        <f t="shared" si="24"/>
        <v>0</v>
      </c>
      <c r="BS66" s="92">
        <f t="shared" si="25"/>
        <v>0</v>
      </c>
      <c r="BT66" s="95"/>
      <c r="BU66" s="85">
        <f t="shared" si="58"/>
        <v>6863.3098505384096</v>
      </c>
      <c r="BV66" s="85">
        <f t="shared" si="88"/>
        <v>153621.46438460122</v>
      </c>
      <c r="BW66" s="92">
        <f t="shared" si="59"/>
        <v>0</v>
      </c>
      <c r="BX66" s="92">
        <f t="shared" si="60"/>
        <v>0</v>
      </c>
      <c r="BY66" s="85">
        <f t="shared" si="61"/>
        <v>6863.3098505384096</v>
      </c>
      <c r="BZ66" s="85">
        <f t="shared" si="89"/>
        <v>153621.46438460122</v>
      </c>
      <c r="CA66" s="96">
        <f t="shared" si="90"/>
        <v>184498.59239999996</v>
      </c>
      <c r="CB66" s="96">
        <f t="shared" si="29"/>
        <v>155942.74710675</v>
      </c>
      <c r="CC66" s="94">
        <f t="shared" si="30"/>
        <v>0</v>
      </c>
      <c r="CD66" s="92">
        <f t="shared" si="31"/>
        <v>0</v>
      </c>
      <c r="CE66" s="66"/>
      <c r="CF66" s="85">
        <f t="shared" si="62"/>
        <v>6863.3098505384096</v>
      </c>
      <c r="CG66" s="85">
        <f t="shared" si="91"/>
        <v>153621.46438460122</v>
      </c>
      <c r="CH66" s="92">
        <f t="shared" si="63"/>
        <v>0</v>
      </c>
      <c r="CI66" s="92">
        <f t="shared" si="64"/>
        <v>0</v>
      </c>
      <c r="CJ66" s="85">
        <f t="shared" si="65"/>
        <v>6863.3098505384096</v>
      </c>
      <c r="CK66" s="85">
        <f t="shared" si="92"/>
        <v>153621.46438460122</v>
      </c>
      <c r="CL66" s="97">
        <f t="shared" si="34"/>
        <v>0.98511451949374884</v>
      </c>
      <c r="CM66" s="261"/>
      <c r="CN66" s="295">
        <f t="shared" si="66"/>
        <v>7000.58</v>
      </c>
      <c r="CP66" s="85">
        <f t="shared" si="67"/>
        <v>7000.58</v>
      </c>
      <c r="CQ66" s="85">
        <f t="shared" si="68"/>
        <v>6300.5219999999999</v>
      </c>
      <c r="CR66" s="85">
        <f t="shared" si="69"/>
        <v>7700.6380000000008</v>
      </c>
      <c r="CS66" s="295">
        <f>CF66*S$3</f>
        <v>7000.5760475491779</v>
      </c>
      <c r="CT66" s="295">
        <f t="shared" si="71"/>
        <v>7000.5760475491779</v>
      </c>
      <c r="CU66" s="303"/>
      <c r="CV66" s="303"/>
    </row>
    <row r="67" spans="1:100" s="153" customFormat="1" ht="15" customHeight="1" x14ac:dyDescent="0.3">
      <c r="A67" s="174">
        <v>61311</v>
      </c>
      <c r="B67" s="176" t="s">
        <v>273</v>
      </c>
      <c r="C67" s="175">
        <f>VLOOKUP($A67,'Fed Bs Rt+IME+GME+VBP+RAA+HAC'!$B$5:$AC$88,15,FALSE)</f>
        <v>6594.24</v>
      </c>
      <c r="D67" s="175">
        <f>VLOOKUP($A67,'Fed Bs Rt+IME+GME+VBP+RAA+HAC'!$B$5:$AC$88,21,FALSE)</f>
        <v>0</v>
      </c>
      <c r="E67" s="175">
        <f>VLOOKUP($A67,'Fed Bs Rt+IME+GME+VBP+RAA+HAC'!$B$5:$AC$88,25,FALSE)</f>
        <v>0</v>
      </c>
      <c r="F67" s="175">
        <f>VLOOKUP($A67,'Fed Bs Rt+IME+GME+VBP+RAA+HAC'!$B$5:$AC$88,23,FALSE)</f>
        <v>0</v>
      </c>
      <c r="G67" s="175">
        <f>VLOOKUP($A67,'Fed Bs Rt+IME+GME+VBP+RAA+HAC'!$B$5:$AC$88,28,FALSE)</f>
        <v>0</v>
      </c>
      <c r="H67" s="175">
        <f t="shared" si="35"/>
        <v>0</v>
      </c>
      <c r="I67" s="175">
        <f>VLOOKUP($A67,'Fed Bs Rt+IME+GME+VBP+RAA+HAC'!$B$5:$AC$88,16,FALSE)</f>
        <v>0</v>
      </c>
      <c r="J67" s="175">
        <f t="shared" si="36"/>
        <v>1648.56</v>
      </c>
      <c r="K67" s="175">
        <f t="shared" si="72"/>
        <v>0</v>
      </c>
      <c r="L67" s="294">
        <f>IF(OR(J67&gt;0,K67&gt;0,M67&gt;0),0,IF(VLOOKUP(A67,'Low Discharge'!A:C,3,FALSE)&lt;=L$3,L$1*C67,IF(VLOOKUP(A67,'Low Discharge'!A:C,3,FALSE)&gt;=L$2,0,(VLOOKUP(A67,'Low Discharge'!A:C,3,FALSE)-L$2)/(L$3-L$2)*L$1*C67)))</f>
        <v>0</v>
      </c>
      <c r="M67" s="170">
        <f>IF(VLOOKUP($A67,Characteristics!$A:$E,3,FALSE)=2,M$1*C67,0)</f>
        <v>0</v>
      </c>
      <c r="N67" s="170">
        <f>IF(VLOOKUP($A67,Characteristics!$A:$E,5,FALSE)&gt;=N$2,N$1*C67,IF(VLOOKUP($A67,Characteristics!$A:$E,5,FALSE)&lt;=N$3,0,(VLOOKUP($A67,Characteristics!$A:$E,5,FALSE)-N$3)/(N$2-N$3)*N$1*C67))</f>
        <v>0</v>
      </c>
      <c r="O67" s="170">
        <f>IF(VLOOKUP($A67,Characteristics!$A:$F,6,FALSE)&lt;=O$3,O$1*C67,IF(VLOOKUP($A67,Characteristics!$A:$F,6,FALSE)&gt;=O$2,0,(VLOOKUP($A67,Characteristics!$A:$F,6,FALSE)-O$2)/(O$3-O$2)*O$1*C67))</f>
        <v>961.30125074112823</v>
      </c>
      <c r="P67" s="175">
        <f t="shared" si="73"/>
        <v>9204.1012507411269</v>
      </c>
      <c r="Q67" s="175"/>
      <c r="R67" s="85">
        <v>6736.64</v>
      </c>
      <c r="S67" s="86">
        <f t="shared" si="37"/>
        <v>6905.0559999999996</v>
      </c>
      <c r="T67" s="85">
        <f t="shared" si="74"/>
        <v>216073.72315846462</v>
      </c>
      <c r="U67" s="88">
        <v>32.0334</v>
      </c>
      <c r="V67" s="89">
        <v>0.97685862068965523</v>
      </c>
      <c r="W67" s="90">
        <f t="shared" si="75"/>
        <v>288015.6838083741</v>
      </c>
      <c r="X67" s="98" t="s">
        <v>5</v>
      </c>
      <c r="Y67" s="85">
        <f t="shared" si="38"/>
        <v>6905.0559999999996</v>
      </c>
      <c r="Z67" s="85">
        <f t="shared" si="39"/>
        <v>6214.5504000000001</v>
      </c>
      <c r="AA67" s="85">
        <f t="shared" si="40"/>
        <v>7595.5616</v>
      </c>
      <c r="AB67" s="230"/>
      <c r="AC67" s="101"/>
      <c r="AD67" s="85">
        <f t="shared" si="41"/>
        <v>7673.7696796581195</v>
      </c>
      <c r="AE67" s="85">
        <f t="shared" si="76"/>
        <v>240128.39075371271</v>
      </c>
      <c r="AF67" s="92">
        <f t="shared" si="42"/>
        <v>0</v>
      </c>
      <c r="AG67" s="92">
        <f t="shared" si="43"/>
        <v>1</v>
      </c>
      <c r="AH67" s="85">
        <f t="shared" si="44"/>
        <v>7595.5616</v>
      </c>
      <c r="AI67" s="85">
        <f t="shared" si="77"/>
        <v>237681.09547431112</v>
      </c>
      <c r="AJ67" s="93">
        <f t="shared" si="78"/>
        <v>288015.6838083741</v>
      </c>
      <c r="AK67" s="93">
        <f t="shared" si="7"/>
        <v>216073.72315846462</v>
      </c>
      <c r="AL67" s="94">
        <f t="shared" si="45"/>
        <v>0</v>
      </c>
      <c r="AM67" s="95"/>
      <c r="AN67" s="85">
        <f t="shared" si="46"/>
        <v>7650.2886045717669</v>
      </c>
      <c r="AO67" s="85">
        <f t="shared" si="79"/>
        <v>239393.6185349687</v>
      </c>
      <c r="AP67" s="92">
        <f t="shared" si="47"/>
        <v>0</v>
      </c>
      <c r="AQ67" s="92">
        <f t="shared" si="48"/>
        <v>1</v>
      </c>
      <c r="AR67" s="85">
        <f t="shared" si="49"/>
        <v>7595.5616</v>
      </c>
      <c r="AS67" s="85">
        <f t="shared" si="80"/>
        <v>237681.09547431112</v>
      </c>
      <c r="AT67" s="93">
        <f t="shared" si="81"/>
        <v>0</v>
      </c>
      <c r="AU67" s="93">
        <f t="shared" si="11"/>
        <v>-21607.3723158465</v>
      </c>
      <c r="AV67" s="94">
        <f t="shared" si="12"/>
        <v>1</v>
      </c>
      <c r="AW67" s="92">
        <f t="shared" si="13"/>
        <v>1</v>
      </c>
      <c r="AX67" s="95"/>
      <c r="AY67" s="85">
        <f t="shared" si="50"/>
        <v>7595.5616</v>
      </c>
      <c r="AZ67" s="85">
        <f t="shared" si="82"/>
        <v>237681.09547431112</v>
      </c>
      <c r="BA67" s="92">
        <f t="shared" si="51"/>
        <v>0</v>
      </c>
      <c r="BB67" s="92">
        <f t="shared" si="52"/>
        <v>1</v>
      </c>
      <c r="BC67" s="85">
        <f t="shared" si="53"/>
        <v>7595.5616</v>
      </c>
      <c r="BD67" s="85">
        <f t="shared" si="83"/>
        <v>237681.09547431112</v>
      </c>
      <c r="BE67" s="93">
        <f t="shared" si="84"/>
        <v>0</v>
      </c>
      <c r="BF67" s="93">
        <f t="shared" si="17"/>
        <v>-21607.3723158465</v>
      </c>
      <c r="BG67" s="94">
        <f t="shared" si="18"/>
        <v>1</v>
      </c>
      <c r="BH67" s="92">
        <f t="shared" si="19"/>
        <v>0</v>
      </c>
      <c r="BI67" s="95"/>
      <c r="BJ67" s="85">
        <f t="shared" si="54"/>
        <v>7595.5616</v>
      </c>
      <c r="BK67" s="85">
        <f t="shared" si="85"/>
        <v>237681.09547431112</v>
      </c>
      <c r="BL67" s="92">
        <f t="shared" si="55"/>
        <v>0</v>
      </c>
      <c r="BM67" s="92">
        <f t="shared" si="56"/>
        <v>1</v>
      </c>
      <c r="BN67" s="85">
        <f t="shared" si="57"/>
        <v>7595.5616</v>
      </c>
      <c r="BO67" s="85">
        <f t="shared" si="86"/>
        <v>237681.09547431112</v>
      </c>
      <c r="BP67" s="93">
        <f t="shared" si="87"/>
        <v>0</v>
      </c>
      <c r="BQ67" s="93">
        <f t="shared" si="23"/>
        <v>-21607.3723158465</v>
      </c>
      <c r="BR67" s="94">
        <f t="shared" si="24"/>
        <v>1</v>
      </c>
      <c r="BS67" s="92">
        <f t="shared" si="25"/>
        <v>0</v>
      </c>
      <c r="BT67" s="95"/>
      <c r="BU67" s="85">
        <f t="shared" si="58"/>
        <v>7595.5616</v>
      </c>
      <c r="BV67" s="85">
        <f t="shared" si="88"/>
        <v>237681.09547431112</v>
      </c>
      <c r="BW67" s="92">
        <f t="shared" si="59"/>
        <v>0</v>
      </c>
      <c r="BX67" s="92">
        <f t="shared" si="60"/>
        <v>1</v>
      </c>
      <c r="BY67" s="85">
        <f t="shared" si="61"/>
        <v>7595.5616</v>
      </c>
      <c r="BZ67" s="85">
        <f t="shared" si="89"/>
        <v>237681.09547431112</v>
      </c>
      <c r="CA67" s="96">
        <f t="shared" si="90"/>
        <v>0</v>
      </c>
      <c r="CB67" s="96">
        <f t="shared" si="29"/>
        <v>-21607.3723158465</v>
      </c>
      <c r="CC67" s="94">
        <f t="shared" si="30"/>
        <v>1</v>
      </c>
      <c r="CD67" s="92">
        <f t="shared" si="31"/>
        <v>0</v>
      </c>
      <c r="CE67" s="66"/>
      <c r="CF67" s="85">
        <f t="shared" si="62"/>
        <v>7663.7306230364047</v>
      </c>
      <c r="CG67" s="85">
        <f t="shared" si="91"/>
        <v>239814.24756048553</v>
      </c>
      <c r="CH67" s="92">
        <f t="shared" si="63"/>
        <v>0</v>
      </c>
      <c r="CI67" s="92">
        <f t="shared" si="64"/>
        <v>1</v>
      </c>
      <c r="CJ67" s="85">
        <f t="shared" si="65"/>
        <v>7595.5616</v>
      </c>
      <c r="CK67" s="85">
        <f t="shared" si="92"/>
        <v>237681.09547431112</v>
      </c>
      <c r="CL67" s="97">
        <f t="shared" si="34"/>
        <v>1.1000000000000001</v>
      </c>
      <c r="CM67" s="261"/>
      <c r="CN67" s="295">
        <f t="shared" si="66"/>
        <v>7747.47</v>
      </c>
      <c r="CP67" s="85">
        <f t="shared" si="67"/>
        <v>7747.47</v>
      </c>
      <c r="CQ67" s="85">
        <f t="shared" si="68"/>
        <v>6972.723</v>
      </c>
      <c r="CR67" s="85">
        <f t="shared" si="69"/>
        <v>8522.2170000000006</v>
      </c>
      <c r="CS67" s="295">
        <f t="shared" si="70"/>
        <v>7817.0052354971331</v>
      </c>
      <c r="CT67" s="295">
        <f t="shared" si="71"/>
        <v>7817.0052354971331</v>
      </c>
      <c r="CU67" s="303"/>
      <c r="CV67" s="303"/>
    </row>
    <row r="68" spans="1:100" s="153" customFormat="1" ht="15" customHeight="1" x14ac:dyDescent="0.3">
      <c r="A68" s="174">
        <v>61312</v>
      </c>
      <c r="B68" s="176" t="s">
        <v>273</v>
      </c>
      <c r="C68" s="175">
        <f>VLOOKUP($A68,'Fed Bs Rt+IME+GME+VBP+RAA+HAC'!$B$5:$AC$88,15,FALSE)</f>
        <v>6594.24</v>
      </c>
      <c r="D68" s="175">
        <f>VLOOKUP($A68,'Fed Bs Rt+IME+GME+VBP+RAA+HAC'!$B$5:$AC$88,21,FALSE)</f>
        <v>0</v>
      </c>
      <c r="E68" s="175">
        <f>VLOOKUP($A68,'Fed Bs Rt+IME+GME+VBP+RAA+HAC'!$B$5:$AC$88,25,FALSE)</f>
        <v>0</v>
      </c>
      <c r="F68" s="175">
        <f>VLOOKUP($A68,'Fed Bs Rt+IME+GME+VBP+RAA+HAC'!$B$5:$AC$88,23,FALSE)</f>
        <v>0</v>
      </c>
      <c r="G68" s="175">
        <f>VLOOKUP($A68,'Fed Bs Rt+IME+GME+VBP+RAA+HAC'!$B$5:$AC$88,28,FALSE)</f>
        <v>0</v>
      </c>
      <c r="H68" s="175">
        <f t="shared" si="35"/>
        <v>0</v>
      </c>
      <c r="I68" s="175">
        <f>VLOOKUP($A68,'Fed Bs Rt+IME+GME+VBP+RAA+HAC'!$B$5:$AC$88,16,FALSE)</f>
        <v>0</v>
      </c>
      <c r="J68" s="175">
        <f t="shared" si="36"/>
        <v>1648.56</v>
      </c>
      <c r="K68" s="175">
        <f t="shared" si="72"/>
        <v>0</v>
      </c>
      <c r="L68" s="294">
        <f>IF(OR(J68&gt;0,K68&gt;0,M68&gt;0),0,IF(VLOOKUP(A68,'Low Discharge'!A:C,3,FALSE)&lt;=L$3,L$1*C68,IF(VLOOKUP(A68,'Low Discharge'!A:C,3,FALSE)&gt;=L$2,0,(VLOOKUP(A68,'Low Discharge'!A:C,3,FALSE)-L$2)/(L$3-L$2)*L$1*C68)))</f>
        <v>0</v>
      </c>
      <c r="M68" s="170">
        <f>IF(VLOOKUP($A68,Characteristics!$A:$E,3,FALSE)=2,M$1*C68,0)</f>
        <v>0</v>
      </c>
      <c r="N68" s="170">
        <f>IF(VLOOKUP($A68,Characteristics!$A:$E,5,FALSE)&gt;=N$2,N$1*C68,IF(VLOOKUP($A68,Characteristics!$A:$E,5,FALSE)&lt;=N$3,0,(VLOOKUP($A68,Characteristics!$A:$E,5,FALSE)-N$3)/(N$2-N$3)*N$1*C68))</f>
        <v>0</v>
      </c>
      <c r="O68" s="170">
        <f>IF(VLOOKUP($A68,Characteristics!$A:$F,6,FALSE)&lt;=O$3,O$1*C68,IF(VLOOKUP($A68,Characteristics!$A:$F,6,FALSE)&gt;=O$2,0,(VLOOKUP($A68,Characteristics!$A:$F,6,FALSE)-O$2)/(O$3-O$2)*O$1*C68))</f>
        <v>1318.848</v>
      </c>
      <c r="P68" s="175">
        <f t="shared" si="73"/>
        <v>9561.6479999999992</v>
      </c>
      <c r="Q68" s="175"/>
      <c r="R68" s="85">
        <v>5490.44</v>
      </c>
      <c r="S68" s="86">
        <f t="shared" si="37"/>
        <v>5627.7009999999991</v>
      </c>
      <c r="T68" s="85">
        <f t="shared" si="74"/>
        <v>337568.16023305862</v>
      </c>
      <c r="U68" s="88">
        <v>110.46</v>
      </c>
      <c r="V68" s="89">
        <v>0.54303199999999996</v>
      </c>
      <c r="W68" s="90">
        <f t="shared" si="75"/>
        <v>573539.34122585854</v>
      </c>
      <c r="X68" s="98" t="s">
        <v>5</v>
      </c>
      <c r="Y68" s="85">
        <f t="shared" si="38"/>
        <v>5627.7009999999991</v>
      </c>
      <c r="Z68" s="85">
        <f t="shared" si="39"/>
        <v>5064.9308999999994</v>
      </c>
      <c r="AA68" s="85">
        <f t="shared" si="40"/>
        <v>6190.4710999999998</v>
      </c>
      <c r="AB68" s="230"/>
      <c r="AC68" s="101"/>
      <c r="AD68" s="85">
        <f t="shared" si="41"/>
        <v>7971.8684650557852</v>
      </c>
      <c r="AE68" s="85">
        <f t="shared" si="76"/>
        <v>478179.09504588443</v>
      </c>
      <c r="AF68" s="92">
        <f t="shared" si="42"/>
        <v>0</v>
      </c>
      <c r="AG68" s="92">
        <f t="shared" si="43"/>
        <v>1</v>
      </c>
      <c r="AH68" s="85">
        <f t="shared" si="44"/>
        <v>6190.4710999999998</v>
      </c>
      <c r="AI68" s="85">
        <f t="shared" si="77"/>
        <v>371324.97625636455</v>
      </c>
      <c r="AJ68" s="93">
        <f t="shared" si="78"/>
        <v>573539.34122585854</v>
      </c>
      <c r="AK68" s="93">
        <f t="shared" si="7"/>
        <v>337568.16023305862</v>
      </c>
      <c r="AL68" s="94">
        <f t="shared" si="45"/>
        <v>0</v>
      </c>
      <c r="AM68" s="95"/>
      <c r="AN68" s="85">
        <f t="shared" si="46"/>
        <v>7947.4752333299602</v>
      </c>
      <c r="AO68" s="85">
        <f t="shared" si="79"/>
        <v>476715.90815023641</v>
      </c>
      <c r="AP68" s="92">
        <f t="shared" si="47"/>
        <v>0</v>
      </c>
      <c r="AQ68" s="92">
        <f t="shared" si="48"/>
        <v>1</v>
      </c>
      <c r="AR68" s="85">
        <f t="shared" si="49"/>
        <v>6190.4710999999998</v>
      </c>
      <c r="AS68" s="85">
        <f t="shared" si="80"/>
        <v>371324.97625636455</v>
      </c>
      <c r="AT68" s="93">
        <f t="shared" si="81"/>
        <v>0</v>
      </c>
      <c r="AU68" s="93">
        <f t="shared" si="11"/>
        <v>-33756.816023305932</v>
      </c>
      <c r="AV68" s="94">
        <f t="shared" si="12"/>
        <v>1</v>
      </c>
      <c r="AW68" s="92">
        <f t="shared" si="13"/>
        <v>1</v>
      </c>
      <c r="AX68" s="95"/>
      <c r="AY68" s="85">
        <f t="shared" si="50"/>
        <v>6190.4710999999998</v>
      </c>
      <c r="AZ68" s="85">
        <f t="shared" si="82"/>
        <v>371324.97625636455</v>
      </c>
      <c r="BA68" s="92">
        <f t="shared" si="51"/>
        <v>0</v>
      </c>
      <c r="BB68" s="92">
        <f t="shared" si="52"/>
        <v>1</v>
      </c>
      <c r="BC68" s="85">
        <f t="shared" si="53"/>
        <v>6190.4710999999998</v>
      </c>
      <c r="BD68" s="85">
        <f t="shared" si="83"/>
        <v>371324.97625636455</v>
      </c>
      <c r="BE68" s="93">
        <f t="shared" si="84"/>
        <v>0</v>
      </c>
      <c r="BF68" s="93">
        <f t="shared" si="17"/>
        <v>-33756.816023305932</v>
      </c>
      <c r="BG68" s="94">
        <f t="shared" si="18"/>
        <v>1</v>
      </c>
      <c r="BH68" s="92">
        <f t="shared" si="19"/>
        <v>0</v>
      </c>
      <c r="BI68" s="95"/>
      <c r="BJ68" s="85">
        <f t="shared" si="54"/>
        <v>6190.4710999999998</v>
      </c>
      <c r="BK68" s="85">
        <f t="shared" si="85"/>
        <v>371324.97625636455</v>
      </c>
      <c r="BL68" s="92">
        <f t="shared" si="55"/>
        <v>0</v>
      </c>
      <c r="BM68" s="92">
        <f t="shared" si="56"/>
        <v>1</v>
      </c>
      <c r="BN68" s="85">
        <f t="shared" si="57"/>
        <v>6190.4710999999998</v>
      </c>
      <c r="BO68" s="85">
        <f t="shared" si="86"/>
        <v>371324.97625636455</v>
      </c>
      <c r="BP68" s="93">
        <f t="shared" si="87"/>
        <v>0</v>
      </c>
      <c r="BQ68" s="93">
        <f t="shared" si="23"/>
        <v>-33756.816023305932</v>
      </c>
      <c r="BR68" s="94">
        <f t="shared" si="24"/>
        <v>1</v>
      </c>
      <c r="BS68" s="92">
        <f t="shared" si="25"/>
        <v>0</v>
      </c>
      <c r="BT68" s="95"/>
      <c r="BU68" s="85">
        <f t="shared" si="58"/>
        <v>6190.4710999999998</v>
      </c>
      <c r="BV68" s="85">
        <f t="shared" si="88"/>
        <v>371324.97625636455</v>
      </c>
      <c r="BW68" s="92">
        <f t="shared" si="59"/>
        <v>0</v>
      </c>
      <c r="BX68" s="92">
        <f t="shared" si="60"/>
        <v>1</v>
      </c>
      <c r="BY68" s="85">
        <f t="shared" si="61"/>
        <v>6190.4710999999998</v>
      </c>
      <c r="BZ68" s="85">
        <f t="shared" si="89"/>
        <v>371324.97625636455</v>
      </c>
      <c r="CA68" s="96">
        <f t="shared" si="90"/>
        <v>0</v>
      </c>
      <c r="CB68" s="96">
        <f t="shared" si="29"/>
        <v>-33756.816023305932</v>
      </c>
      <c r="CC68" s="94">
        <f t="shared" si="30"/>
        <v>1</v>
      </c>
      <c r="CD68" s="92">
        <f t="shared" si="31"/>
        <v>0</v>
      </c>
      <c r="CE68" s="66"/>
      <c r="CF68" s="85">
        <f t="shared" si="62"/>
        <v>7961.4394266245554</v>
      </c>
      <c r="CG68" s="85">
        <f t="shared" si="91"/>
        <v>477553.52675143699</v>
      </c>
      <c r="CH68" s="92">
        <f t="shared" si="63"/>
        <v>0</v>
      </c>
      <c r="CI68" s="92">
        <f t="shared" si="64"/>
        <v>1</v>
      </c>
      <c r="CJ68" s="85">
        <f t="shared" si="65"/>
        <v>6190.4710999999998</v>
      </c>
      <c r="CK68" s="85">
        <f t="shared" si="92"/>
        <v>371324.97625636455</v>
      </c>
      <c r="CL68" s="97">
        <f t="shared" si="34"/>
        <v>1.1000000000000001</v>
      </c>
      <c r="CM68" s="261"/>
      <c r="CN68" s="295">
        <f t="shared" si="66"/>
        <v>6314.28</v>
      </c>
      <c r="CP68" s="85">
        <f t="shared" si="67"/>
        <v>6314.28</v>
      </c>
      <c r="CQ68" s="85">
        <f t="shared" si="68"/>
        <v>5682.8519999999999</v>
      </c>
      <c r="CR68" s="85">
        <f t="shared" si="69"/>
        <v>6945.7080000000005</v>
      </c>
      <c r="CS68" s="295">
        <f t="shared" si="70"/>
        <v>8120.6682151570467</v>
      </c>
      <c r="CT68" s="295">
        <f t="shared" si="71"/>
        <v>6945.7080000000005</v>
      </c>
      <c r="CU68" s="303"/>
      <c r="CV68" s="303"/>
    </row>
    <row r="69" spans="1:100" s="153" customFormat="1" ht="15" customHeight="1" x14ac:dyDescent="0.3">
      <c r="A69" s="174">
        <v>61313</v>
      </c>
      <c r="B69" s="176" t="s">
        <v>273</v>
      </c>
      <c r="C69" s="175">
        <f>VLOOKUP($A69,'Fed Bs Rt+IME+GME+VBP+RAA+HAC'!$B$5:$AC$88,15,FALSE)</f>
        <v>6594.24</v>
      </c>
      <c r="D69" s="175">
        <f>VLOOKUP($A69,'Fed Bs Rt+IME+GME+VBP+RAA+HAC'!$B$5:$AC$88,21,FALSE)</f>
        <v>0</v>
      </c>
      <c r="E69" s="175">
        <f>VLOOKUP($A69,'Fed Bs Rt+IME+GME+VBP+RAA+HAC'!$B$5:$AC$88,25,FALSE)</f>
        <v>0</v>
      </c>
      <c r="F69" s="175">
        <f>VLOOKUP($A69,'Fed Bs Rt+IME+GME+VBP+RAA+HAC'!$B$5:$AC$88,23,FALSE)</f>
        <v>0</v>
      </c>
      <c r="G69" s="175">
        <f>VLOOKUP($A69,'Fed Bs Rt+IME+GME+VBP+RAA+HAC'!$B$5:$AC$88,28,FALSE)</f>
        <v>0</v>
      </c>
      <c r="H69" s="175">
        <f t="shared" si="35"/>
        <v>0</v>
      </c>
      <c r="I69" s="175">
        <f>VLOOKUP($A69,'Fed Bs Rt+IME+GME+VBP+RAA+HAC'!$B$5:$AC$88,16,FALSE)</f>
        <v>0</v>
      </c>
      <c r="J69" s="175">
        <f t="shared" si="36"/>
        <v>1648.56</v>
      </c>
      <c r="K69" s="175">
        <f t="shared" si="72"/>
        <v>0</v>
      </c>
      <c r="L69" s="294">
        <f>IF(OR(J69&gt;0,K69&gt;0,M69&gt;0),0,IF(VLOOKUP(A69,'Low Discharge'!A:C,3,FALSE)&lt;=L$3,L$1*C69,IF(VLOOKUP(A69,'Low Discharge'!A:C,3,FALSE)&gt;=L$2,0,(VLOOKUP(A69,'Low Discharge'!A:C,3,FALSE)-L$2)/(L$3-L$2)*L$1*C69)))</f>
        <v>0</v>
      </c>
      <c r="M69" s="170">
        <f>IF(VLOOKUP($A69,Characteristics!$A:$E,3,FALSE)=2,M$1*C69,0)</f>
        <v>0</v>
      </c>
      <c r="N69" s="170">
        <f>IF(VLOOKUP($A69,Characteristics!$A:$E,5,FALSE)&gt;=N$2,N$1*C69,IF(VLOOKUP($A69,Characteristics!$A:$E,5,FALSE)&lt;=N$3,0,(VLOOKUP($A69,Characteristics!$A:$E,5,FALSE)-N$3)/(N$2-N$3)*N$1*C69))</f>
        <v>0</v>
      </c>
      <c r="O69" s="170">
        <f>IF(VLOOKUP($A69,Characteristics!$A:$F,6,FALSE)&lt;=O$3,O$1*C69,IF(VLOOKUP($A69,Characteristics!$A:$F,6,FALSE)&gt;=O$2,0,(VLOOKUP($A69,Characteristics!$A:$F,6,FALSE)-O$2)/(O$3-O$2)*O$1*C69))</f>
        <v>1250.7345212107157</v>
      </c>
      <c r="P69" s="175">
        <f t="shared" si="73"/>
        <v>9493.534521210715</v>
      </c>
      <c r="Q69" s="175"/>
      <c r="R69" s="85">
        <v>6782.35</v>
      </c>
      <c r="S69" s="86">
        <f t="shared" si="37"/>
        <v>6951.9087499999996</v>
      </c>
      <c r="T69" s="85">
        <f t="shared" si="74"/>
        <v>107441.82550705537</v>
      </c>
      <c r="U69" s="88">
        <v>32.0334</v>
      </c>
      <c r="V69" s="89">
        <v>0.48246551724137932</v>
      </c>
      <c r="W69" s="90">
        <f t="shared" si="75"/>
        <v>146722.6795048379</v>
      </c>
      <c r="X69" s="98" t="s">
        <v>5</v>
      </c>
      <c r="Y69" s="85">
        <f t="shared" si="38"/>
        <v>6951.9087499999996</v>
      </c>
      <c r="Z69" s="85">
        <f t="shared" si="39"/>
        <v>6256.7178749999994</v>
      </c>
      <c r="AA69" s="85">
        <f t="shared" si="40"/>
        <v>7647.0996249999998</v>
      </c>
      <c r="AB69" s="230"/>
      <c r="AC69" s="101"/>
      <c r="AD69" s="85">
        <f t="shared" si="41"/>
        <v>7915.0799602284224</v>
      </c>
      <c r="AE69" s="85">
        <f t="shared" si="76"/>
        <v>122327.64705970183</v>
      </c>
      <c r="AF69" s="92">
        <f t="shared" si="42"/>
        <v>0</v>
      </c>
      <c r="AG69" s="92">
        <f t="shared" si="43"/>
        <v>1</v>
      </c>
      <c r="AH69" s="85">
        <f t="shared" si="44"/>
        <v>7647.0996249999998</v>
      </c>
      <c r="AI69" s="85">
        <f t="shared" si="77"/>
        <v>118186.00805776092</v>
      </c>
      <c r="AJ69" s="93">
        <f t="shared" si="78"/>
        <v>146722.6795048379</v>
      </c>
      <c r="AK69" s="93">
        <f t="shared" si="7"/>
        <v>107441.82550705537</v>
      </c>
      <c r="AL69" s="94">
        <f t="shared" si="45"/>
        <v>0</v>
      </c>
      <c r="AM69" s="95"/>
      <c r="AN69" s="85">
        <f t="shared" si="46"/>
        <v>7890.8604964421584</v>
      </c>
      <c r="AO69" s="85">
        <f t="shared" si="79"/>
        <v>121953.33498289296</v>
      </c>
      <c r="AP69" s="92">
        <f t="shared" si="47"/>
        <v>0</v>
      </c>
      <c r="AQ69" s="92">
        <f t="shared" si="48"/>
        <v>1</v>
      </c>
      <c r="AR69" s="85">
        <f t="shared" si="49"/>
        <v>7647.0996249999998</v>
      </c>
      <c r="AS69" s="85">
        <f t="shared" si="80"/>
        <v>118186.00805776092</v>
      </c>
      <c r="AT69" s="93">
        <f t="shared" si="81"/>
        <v>0</v>
      </c>
      <c r="AU69" s="93">
        <f t="shared" si="11"/>
        <v>-10744.182550705547</v>
      </c>
      <c r="AV69" s="94">
        <f t="shared" si="12"/>
        <v>1</v>
      </c>
      <c r="AW69" s="92">
        <f t="shared" si="13"/>
        <v>1</v>
      </c>
      <c r="AX69" s="95"/>
      <c r="AY69" s="85">
        <f t="shared" si="50"/>
        <v>7647.0996249999998</v>
      </c>
      <c r="AZ69" s="85">
        <f t="shared" si="82"/>
        <v>118186.00805776092</v>
      </c>
      <c r="BA69" s="92">
        <f t="shared" si="51"/>
        <v>0</v>
      </c>
      <c r="BB69" s="92">
        <f t="shared" si="52"/>
        <v>1</v>
      </c>
      <c r="BC69" s="85">
        <f t="shared" si="53"/>
        <v>7647.0996249999998</v>
      </c>
      <c r="BD69" s="85">
        <f t="shared" si="83"/>
        <v>118186.00805776092</v>
      </c>
      <c r="BE69" s="93">
        <f t="shared" si="84"/>
        <v>0</v>
      </c>
      <c r="BF69" s="93">
        <f t="shared" si="17"/>
        <v>-10744.182550705547</v>
      </c>
      <c r="BG69" s="94">
        <f t="shared" si="18"/>
        <v>1</v>
      </c>
      <c r="BH69" s="92">
        <f t="shared" si="19"/>
        <v>0</v>
      </c>
      <c r="BI69" s="95"/>
      <c r="BJ69" s="85">
        <f t="shared" si="54"/>
        <v>7647.0996249999998</v>
      </c>
      <c r="BK69" s="85">
        <f t="shared" si="85"/>
        <v>118186.00805776092</v>
      </c>
      <c r="BL69" s="92">
        <f t="shared" si="55"/>
        <v>0</v>
      </c>
      <c r="BM69" s="92">
        <f t="shared" si="56"/>
        <v>1</v>
      </c>
      <c r="BN69" s="85">
        <f t="shared" si="57"/>
        <v>7647.0996249999998</v>
      </c>
      <c r="BO69" s="85">
        <f t="shared" si="86"/>
        <v>118186.00805776092</v>
      </c>
      <c r="BP69" s="93">
        <f t="shared" si="87"/>
        <v>0</v>
      </c>
      <c r="BQ69" s="93">
        <f t="shared" si="23"/>
        <v>-10744.182550705547</v>
      </c>
      <c r="BR69" s="94">
        <f t="shared" si="24"/>
        <v>1</v>
      </c>
      <c r="BS69" s="92">
        <f t="shared" si="25"/>
        <v>0</v>
      </c>
      <c r="BT69" s="95"/>
      <c r="BU69" s="85">
        <f t="shared" si="58"/>
        <v>7647.0996249999998</v>
      </c>
      <c r="BV69" s="85">
        <f t="shared" si="88"/>
        <v>118186.00805776092</v>
      </c>
      <c r="BW69" s="92">
        <f t="shared" si="59"/>
        <v>0</v>
      </c>
      <c r="BX69" s="92">
        <f t="shared" si="60"/>
        <v>1</v>
      </c>
      <c r="BY69" s="85">
        <f t="shared" si="61"/>
        <v>7647.0996249999998</v>
      </c>
      <c r="BZ69" s="85">
        <f t="shared" si="89"/>
        <v>118186.00805776092</v>
      </c>
      <c r="CA69" s="96">
        <f t="shared" si="90"/>
        <v>0</v>
      </c>
      <c r="CB69" s="96">
        <f t="shared" si="29"/>
        <v>-10744.182550705547</v>
      </c>
      <c r="CC69" s="94">
        <f t="shared" si="30"/>
        <v>1</v>
      </c>
      <c r="CD69" s="92">
        <f t="shared" si="31"/>
        <v>0</v>
      </c>
      <c r="CE69" s="66"/>
      <c r="CF69" s="85">
        <f t="shared" si="62"/>
        <v>7904.7252142296247</v>
      </c>
      <c r="CG69" s="85">
        <f t="shared" si="91"/>
        <v>122167.61434742369</v>
      </c>
      <c r="CH69" s="92">
        <f t="shared" si="63"/>
        <v>0</v>
      </c>
      <c r="CI69" s="92">
        <f t="shared" si="64"/>
        <v>1</v>
      </c>
      <c r="CJ69" s="85">
        <f t="shared" si="65"/>
        <v>7647.0996249999998</v>
      </c>
      <c r="CK69" s="85">
        <f t="shared" si="92"/>
        <v>118186.00805776092</v>
      </c>
      <c r="CL69" s="97">
        <f t="shared" si="34"/>
        <v>1.1000000000000001</v>
      </c>
      <c r="CM69" s="261"/>
      <c r="CN69" s="295">
        <f t="shared" si="66"/>
        <v>7800.04</v>
      </c>
      <c r="CP69" s="85">
        <f t="shared" si="67"/>
        <v>7800.04</v>
      </c>
      <c r="CQ69" s="85">
        <f t="shared" si="68"/>
        <v>7020.0360000000001</v>
      </c>
      <c r="CR69" s="85">
        <f t="shared" si="69"/>
        <v>8580.0439999999999</v>
      </c>
      <c r="CS69" s="295">
        <f t="shared" si="70"/>
        <v>8062.8197185142171</v>
      </c>
      <c r="CT69" s="295">
        <f t="shared" si="71"/>
        <v>8062.8197185142171</v>
      </c>
      <c r="CU69" s="303"/>
      <c r="CV69" s="303"/>
    </row>
    <row r="70" spans="1:100" s="153" customFormat="1" ht="15" customHeight="1" x14ac:dyDescent="0.3">
      <c r="A70" s="174">
        <v>61314</v>
      </c>
      <c r="B70" s="176" t="s">
        <v>273</v>
      </c>
      <c r="C70" s="175">
        <f>VLOOKUP($A70,'Fed Bs Rt+IME+GME+VBP+RAA+HAC'!$B$5:$AC$88,15,FALSE)</f>
        <v>6594.24</v>
      </c>
      <c r="D70" s="175">
        <f>VLOOKUP($A70,'Fed Bs Rt+IME+GME+VBP+RAA+HAC'!$B$5:$AC$88,21,FALSE)</f>
        <v>0</v>
      </c>
      <c r="E70" s="175">
        <f>VLOOKUP($A70,'Fed Bs Rt+IME+GME+VBP+RAA+HAC'!$B$5:$AC$88,25,FALSE)</f>
        <v>0</v>
      </c>
      <c r="F70" s="175">
        <f>VLOOKUP($A70,'Fed Bs Rt+IME+GME+VBP+RAA+HAC'!$B$5:$AC$88,23,FALSE)</f>
        <v>0</v>
      </c>
      <c r="G70" s="175">
        <f>VLOOKUP($A70,'Fed Bs Rt+IME+GME+VBP+RAA+HAC'!$B$5:$AC$88,28,FALSE)</f>
        <v>0</v>
      </c>
      <c r="H70" s="175">
        <f t="shared" si="35"/>
        <v>0</v>
      </c>
      <c r="I70" s="175">
        <f>VLOOKUP($A70,'Fed Bs Rt+IME+GME+VBP+RAA+HAC'!$B$5:$AC$88,16,FALSE)</f>
        <v>0</v>
      </c>
      <c r="J70" s="175">
        <f t="shared" si="36"/>
        <v>1648.56</v>
      </c>
      <c r="K70" s="175">
        <f t="shared" ref="K70:K89" si="93">IF(OR(B70="SCH",B70="MDH"),+C70*K$1,0)</f>
        <v>0</v>
      </c>
      <c r="L70" s="294">
        <f>IF(OR(J70&gt;0,K70&gt;0,M70&gt;0),0,IF(VLOOKUP(A70,'Low Discharge'!A:C,3,FALSE)&lt;=L$3,L$1*C70,IF(VLOOKUP(A70,'Low Discharge'!A:C,3,FALSE)&gt;=L$2,0,(VLOOKUP(A70,'Low Discharge'!A:C,3,FALSE)-L$2)/(L$3-L$2)*L$1*C70)))</f>
        <v>0</v>
      </c>
      <c r="M70" s="170">
        <f>IF(VLOOKUP($A70,Characteristics!$A:$E,3,FALSE)=2,M$1*C70,0)</f>
        <v>0</v>
      </c>
      <c r="N70" s="170">
        <f>IF(VLOOKUP($A70,Characteristics!$A:$E,5,FALSE)&gt;=N$2,N$1*C70,IF(VLOOKUP($A70,Characteristics!$A:$E,5,FALSE)&lt;=N$3,0,(VLOOKUP($A70,Characteristics!$A:$E,5,FALSE)-N$3)/(N$2-N$3)*N$1*C70))</f>
        <v>0</v>
      </c>
      <c r="O70" s="170">
        <f>IF(VLOOKUP($A70,Characteristics!$A:$F,6,FALSE)&lt;=O$3,O$1*C70,IF(VLOOKUP($A70,Characteristics!$A:$F,6,FALSE)&gt;=O$2,0,(VLOOKUP($A70,Characteristics!$A:$F,6,FALSE)-O$2)/(O$3-O$2)*O$1*C70))</f>
        <v>1318.848</v>
      </c>
      <c r="P70" s="175">
        <f t="shared" ref="P70:P89" si="94">SUM(C70,H70:O70)</f>
        <v>9561.6479999999992</v>
      </c>
      <c r="Q70" s="175"/>
      <c r="R70" s="85">
        <v>6772.38</v>
      </c>
      <c r="S70" s="86">
        <f t="shared" si="37"/>
        <v>6941.6894999999995</v>
      </c>
      <c r="T70" s="85">
        <f t="shared" ref="T70:T89" si="95">S70*U70*V70</f>
        <v>622123.09252154082</v>
      </c>
      <c r="U70" s="88">
        <v>78.426599999999993</v>
      </c>
      <c r="V70" s="89">
        <v>1.1427408450704226</v>
      </c>
      <c r="W70" s="90">
        <f t="shared" ref="W70:W89" si="96">P70*U70*V70</f>
        <v>856927.12463765556</v>
      </c>
      <c r="X70" s="98" t="s">
        <v>5</v>
      </c>
      <c r="Y70" s="85">
        <f t="shared" si="38"/>
        <v>6941.6894999999995</v>
      </c>
      <c r="Z70" s="85">
        <f t="shared" si="39"/>
        <v>6247.5205499999993</v>
      </c>
      <c r="AA70" s="85">
        <f t="shared" si="40"/>
        <v>7635.8584499999997</v>
      </c>
      <c r="AB70" s="230"/>
      <c r="AC70" s="101"/>
      <c r="AD70" s="85">
        <f t="shared" si="41"/>
        <v>7971.8684650557852</v>
      </c>
      <c r="AE70" s="85">
        <f t="shared" ref="AE70:AE89" si="97">AD70*$U70*$V70</f>
        <v>714449.04913356516</v>
      </c>
      <c r="AF70" s="92">
        <f t="shared" si="42"/>
        <v>0</v>
      </c>
      <c r="AG70" s="92">
        <f t="shared" si="43"/>
        <v>1</v>
      </c>
      <c r="AH70" s="85">
        <f t="shared" si="44"/>
        <v>7635.8584499999997</v>
      </c>
      <c r="AI70" s="85">
        <f t="shared" ref="AI70:AI89" si="98">AH70*$U70*$V70</f>
        <v>684335.40177369479</v>
      </c>
      <c r="AJ70" s="93">
        <f t="shared" ref="AJ70:AJ89" si="99">IF(OR(AND(AF70=1,AI$90&gt;$T$90),AND(AG70=1,AI$90&lt;$T$90)),0,$W70)</f>
        <v>856927.12463765556</v>
      </c>
      <c r="AK70" s="93">
        <f t="shared" ref="AK70:AK86" si="100">IF(OR(AND(AF70=1,AI$90&gt;$T$90),AND(AG70=1,AI$90&lt;$T$90)),$T70-AI70,$T70)</f>
        <v>622123.09252154082</v>
      </c>
      <c r="AL70" s="94">
        <f t="shared" si="45"/>
        <v>0</v>
      </c>
      <c r="AM70" s="95"/>
      <c r="AN70" s="85">
        <f t="shared" si="46"/>
        <v>7947.4752333299602</v>
      </c>
      <c r="AO70" s="85">
        <f t="shared" ref="AO70:AO89" si="101">AN70*$U70*$V70</f>
        <v>712262.89650345047</v>
      </c>
      <c r="AP70" s="92">
        <f t="shared" si="47"/>
        <v>0</v>
      </c>
      <c r="AQ70" s="92">
        <f t="shared" si="48"/>
        <v>1</v>
      </c>
      <c r="AR70" s="85">
        <f t="shared" si="49"/>
        <v>7635.8584499999997</v>
      </c>
      <c r="AS70" s="85">
        <f t="shared" ref="AS70:AS89" si="102">AR70*$U70*$V70</f>
        <v>684335.40177369479</v>
      </c>
      <c r="AT70" s="93">
        <f t="shared" ref="AT70:AT89" si="103">IF(OR(AND(AP70=1,AS$90&gt;$T$90),AND(AQ70=1,AS$90&lt;$T$90),AL70=1),0,$W70)</f>
        <v>0</v>
      </c>
      <c r="AU70" s="93">
        <f t="shared" ref="AU70:AU88" si="104">IF(OR(AND(AP70=1,AS$90&gt;$T$90),AND(AQ70=1,AS$90&lt;$T$90),AL70=1),$T70-AS70,$T70)</f>
        <v>-62212.309252153966</v>
      </c>
      <c r="AV70" s="94">
        <f t="shared" ref="AV70:AV87" si="105">IF(OR(AND(AP70=1,AS$90&gt;$T$90),AND(AQ70=1,AS$90&lt;$T$90),AL70=1),1,0)</f>
        <v>1</v>
      </c>
      <c r="AW70" s="92">
        <f t="shared" si="13"/>
        <v>1</v>
      </c>
      <c r="AX70" s="95"/>
      <c r="AY70" s="85">
        <f t="shared" si="50"/>
        <v>7635.8584499999997</v>
      </c>
      <c r="AZ70" s="85">
        <f t="shared" ref="AZ70:AZ89" si="106">AY70*$U70*$V70</f>
        <v>684335.40177369479</v>
      </c>
      <c r="BA70" s="92">
        <f t="shared" si="51"/>
        <v>0</v>
      </c>
      <c r="BB70" s="92">
        <f t="shared" si="52"/>
        <v>1</v>
      </c>
      <c r="BC70" s="85">
        <f t="shared" si="53"/>
        <v>7635.8584499999997</v>
      </c>
      <c r="BD70" s="85">
        <f t="shared" ref="BD70:BD89" si="107">BC70*$U70*$V70</f>
        <v>684335.40177369479</v>
      </c>
      <c r="BE70" s="93">
        <f t="shared" ref="BE70:BE89" si="108">IF(OR(AND(BA70=1,BD$90&gt;$T$90),AND(BB70=1,BD$90&lt;$T$90),AV70=1),0,$W70)</f>
        <v>0</v>
      </c>
      <c r="BF70" s="93">
        <f t="shared" ref="BF70:BF88" si="109">IF(OR(AND(BA70=1,BD$90&gt;$T$90),AND(BB70=1,BD$90&lt;$T$90),AV70=1),$T70-BD70,$T70)</f>
        <v>-62212.309252153966</v>
      </c>
      <c r="BG70" s="94">
        <f t="shared" ref="BG70:BG88" si="110">IF(OR(AND(BA70=1,BD$90&gt;$T$90),AND(BB70=1,BD$90&lt;$T$90),AV70=1),1,0)</f>
        <v>1</v>
      </c>
      <c r="BH70" s="92">
        <f t="shared" ref="BH70:BH88" si="111">IF(BG70=AV70,0,1)</f>
        <v>0</v>
      </c>
      <c r="BI70" s="95"/>
      <c r="BJ70" s="85">
        <f t="shared" si="54"/>
        <v>7635.8584499999997</v>
      </c>
      <c r="BK70" s="85">
        <f t="shared" ref="BK70:BK89" si="112">BJ70*$U70*$V70</f>
        <v>684335.40177369479</v>
      </c>
      <c r="BL70" s="92">
        <f t="shared" si="55"/>
        <v>0</v>
      </c>
      <c r="BM70" s="92">
        <f t="shared" si="56"/>
        <v>1</v>
      </c>
      <c r="BN70" s="85">
        <f t="shared" si="57"/>
        <v>7635.8584499999997</v>
      </c>
      <c r="BO70" s="85">
        <f t="shared" ref="BO70:BO89" si="113">BN70*$U70*$V70</f>
        <v>684335.40177369479</v>
      </c>
      <c r="BP70" s="93">
        <f t="shared" ref="BP70:BP89" si="114">IF(OR(AND(BL70=1,BO$90&gt;$T$90),AND(BM70=1,BO$90&lt;$T$90),BG70=1),0,$W70)</f>
        <v>0</v>
      </c>
      <c r="BQ70" s="93">
        <f t="shared" ref="BQ70:BQ89" si="115">IF(OR(AND(BL70=1,BO$90&gt;$T$90),AND(BM70=1,BO$90&lt;$T$90),BG70=1),$T70-BO70,$T70)</f>
        <v>-62212.309252153966</v>
      </c>
      <c r="BR70" s="94">
        <f t="shared" ref="BR70:BR89" si="116">IF(OR(AND(BL70=1,BO$90&gt;$T$90),AND(BM70=1,BO$90&lt;$T$90),BG70=1),1,0)</f>
        <v>1</v>
      </c>
      <c r="BS70" s="92">
        <f t="shared" ref="BS70:BS89" si="117">IF(BR70=BG70,0,1)</f>
        <v>0</v>
      </c>
      <c r="BT70" s="95"/>
      <c r="BU70" s="85">
        <f t="shared" si="58"/>
        <v>7635.8584499999997</v>
      </c>
      <c r="BV70" s="85">
        <f t="shared" ref="BV70:BV89" si="118">BU70*$U70*$V70</f>
        <v>684335.40177369479</v>
      </c>
      <c r="BW70" s="92">
        <f t="shared" si="59"/>
        <v>0</v>
      </c>
      <c r="BX70" s="92">
        <f t="shared" si="60"/>
        <v>1</v>
      </c>
      <c r="BY70" s="85">
        <f t="shared" si="61"/>
        <v>7635.8584499999997</v>
      </c>
      <c r="BZ70" s="85">
        <f t="shared" ref="BZ70:BZ89" si="119">BY70*$U70*$V70</f>
        <v>684335.40177369479</v>
      </c>
      <c r="CA70" s="96">
        <f t="shared" ref="CA70:CA89" si="120">IF(OR(AND(BW70=1,BZ$90&gt;$T$90),AND(BX70=1,BZ$90&lt;$T$90),BR70=1),0,$W70)</f>
        <v>0</v>
      </c>
      <c r="CB70" s="96">
        <f t="shared" ref="CB70:CB89" si="121">IF(OR(AND(BW70=1,BZ$90&gt;$T$90),AND(BX70=1,BZ$90&lt;$T$90),BR70=1),$T70-BZ70,$T70)</f>
        <v>-62212.309252153966</v>
      </c>
      <c r="CC70" s="94">
        <f t="shared" ref="CC70:CC89" si="122">IF(OR(AND(BW70=1,BZ$90&gt;$T$90),AND(BX70=1,BZ$90&lt;$T$90),BR70=1),1,0)</f>
        <v>1</v>
      </c>
      <c r="CD70" s="92">
        <f t="shared" ref="CD70:CD89" si="123">IF(CC70=BR70,0,1)</f>
        <v>0</v>
      </c>
      <c r="CE70" s="66"/>
      <c r="CF70" s="85">
        <f t="shared" ref="CF70:CF88" si="124">$P70*CF$3</f>
        <v>7961.4394266245554</v>
      </c>
      <c r="CG70" s="85">
        <f t="shared" ref="CG70:CG89" si="125">CF70*$U70*$V70</f>
        <v>713514.38536894962</v>
      </c>
      <c r="CH70" s="92">
        <f t="shared" si="63"/>
        <v>0</v>
      </c>
      <c r="CI70" s="92">
        <f t="shared" si="64"/>
        <v>1</v>
      </c>
      <c r="CJ70" s="85">
        <f t="shared" si="65"/>
        <v>7635.8584499999997</v>
      </c>
      <c r="CK70" s="85">
        <f t="shared" ref="CK70:CK89" si="126">CJ70*$U70*$V70</f>
        <v>684335.40177369479</v>
      </c>
      <c r="CL70" s="97">
        <f t="shared" ref="CL70:CL89" si="127">CJ70/Y70</f>
        <v>1.1000000000000001</v>
      </c>
      <c r="CM70" s="261"/>
      <c r="CN70" s="295">
        <f t="shared" si="66"/>
        <v>7788.58</v>
      </c>
      <c r="CP70" s="85">
        <f t="shared" si="67"/>
        <v>7788.58</v>
      </c>
      <c r="CQ70" s="85">
        <f t="shared" si="68"/>
        <v>7009.7219999999998</v>
      </c>
      <c r="CR70" s="85">
        <f t="shared" si="69"/>
        <v>8567.4380000000001</v>
      </c>
      <c r="CS70" s="295">
        <f t="shared" si="70"/>
        <v>8120.6682151570467</v>
      </c>
      <c r="CT70" s="295">
        <f t="shared" si="71"/>
        <v>8120.6682151570467</v>
      </c>
      <c r="CU70" s="303"/>
      <c r="CV70" s="303"/>
    </row>
    <row r="71" spans="1:100" s="153" customFormat="1" ht="15" customHeight="1" x14ac:dyDescent="0.3">
      <c r="A71" s="174">
        <v>61315</v>
      </c>
      <c r="B71" s="176" t="s">
        <v>273</v>
      </c>
      <c r="C71" s="175">
        <f>VLOOKUP($A71,'Fed Bs Rt+IME+GME+VBP+RAA+HAC'!$B$5:$AC$88,15,FALSE)</f>
        <v>6594.24</v>
      </c>
      <c r="D71" s="175">
        <f>VLOOKUP($A71,'Fed Bs Rt+IME+GME+VBP+RAA+HAC'!$B$5:$AC$88,21,FALSE)</f>
        <v>0</v>
      </c>
      <c r="E71" s="175">
        <f>VLOOKUP($A71,'Fed Bs Rt+IME+GME+VBP+RAA+HAC'!$B$5:$AC$88,25,FALSE)</f>
        <v>0</v>
      </c>
      <c r="F71" s="175">
        <f>VLOOKUP($A71,'Fed Bs Rt+IME+GME+VBP+RAA+HAC'!$B$5:$AC$88,23,FALSE)</f>
        <v>0</v>
      </c>
      <c r="G71" s="175">
        <f>VLOOKUP($A71,'Fed Bs Rt+IME+GME+VBP+RAA+HAC'!$B$5:$AC$88,28,FALSE)</f>
        <v>0</v>
      </c>
      <c r="H71" s="175">
        <f t="shared" ref="H71:H89" si="128">SUM(D71:G71)</f>
        <v>0</v>
      </c>
      <c r="I71" s="175">
        <f>VLOOKUP($A71,'Fed Bs Rt+IME+GME+VBP+RAA+HAC'!$B$5:$AC$88,16,FALSE)</f>
        <v>0</v>
      </c>
      <c r="J71" s="175">
        <f t="shared" ref="J71:J89" si="129">IF(B71="CAH",+C71*J$1,0)</f>
        <v>1648.56</v>
      </c>
      <c r="K71" s="175">
        <f t="shared" si="93"/>
        <v>0</v>
      </c>
      <c r="L71" s="294">
        <f>IF(OR(J71&gt;0,K71&gt;0,M71&gt;0),0,IF(VLOOKUP(A71,'Low Discharge'!A:C,3,FALSE)&lt;=L$3,L$1*C71,IF(VLOOKUP(A71,'Low Discharge'!A:C,3,FALSE)&gt;=L$2,0,(VLOOKUP(A71,'Low Discharge'!A:C,3,FALSE)-L$2)/(L$3-L$2)*L$1*C71)))</f>
        <v>0</v>
      </c>
      <c r="M71" s="170">
        <f>IF(VLOOKUP($A71,Characteristics!$A:$E,3,FALSE)=2,M$1*C71,0)</f>
        <v>0</v>
      </c>
      <c r="N71" s="170">
        <f>IF(VLOOKUP($A71,Characteristics!$A:$E,5,FALSE)&gt;=N$2,N$1*C71,IF(VLOOKUP($A71,Characteristics!$A:$E,5,FALSE)&lt;=N$3,0,(VLOOKUP($A71,Characteristics!$A:$E,5,FALSE)-N$3)/(N$2-N$3)*N$1*C71))</f>
        <v>0</v>
      </c>
      <c r="O71" s="175">
        <f>IF(VLOOKUP($A71,Characteristics!$A:$F,6,FALSE)&lt;=O$3,O$1*C71,IF(VLOOKUP($A71,Characteristics!$A:$F,6,FALSE)&gt;=O$2,0,(VLOOKUP($A71,Characteristics!$A:$F,6,FALSE)-O$2)/(O$3-O$2)*O$1*C71))</f>
        <v>0</v>
      </c>
      <c r="P71" s="175">
        <f t="shared" si="94"/>
        <v>8242.7999999999993</v>
      </c>
      <c r="Q71" s="175"/>
      <c r="R71" s="85">
        <v>6736.64</v>
      </c>
      <c r="S71" s="86">
        <f t="shared" ref="S71:S89" si="130">R71*$S$2</f>
        <v>6905.0559999999996</v>
      </c>
      <c r="T71" s="85">
        <f t="shared" si="95"/>
        <v>148995.67364894116</v>
      </c>
      <c r="U71" s="305">
        <v>30</v>
      </c>
      <c r="V71" s="89">
        <v>0.71925882352941173</v>
      </c>
      <c r="W71" s="90">
        <f t="shared" si="96"/>
        <v>177861.19891764704</v>
      </c>
      <c r="X71" s="98" t="s">
        <v>5</v>
      </c>
      <c r="Y71" s="85">
        <f t="shared" ref="Y71:Y89" si="131">S71</f>
        <v>6905.0559999999996</v>
      </c>
      <c r="Z71" s="85">
        <f t="shared" ref="Z71:Z89" si="132">Y71*(1-$Z$4)</f>
        <v>6214.5504000000001</v>
      </c>
      <c r="AA71" s="85">
        <f t="shared" ref="AA71:AA89" si="133">Y71*(1+$Z$4)</f>
        <v>7595.5616</v>
      </c>
      <c r="AB71" s="230"/>
      <c r="AC71" s="101"/>
      <c r="AD71" s="85">
        <f t="shared" ref="AD71:AD89" si="134">$P71*AD$3</f>
        <v>6872.3004009101596</v>
      </c>
      <c r="AE71" s="85">
        <f t="shared" si="97"/>
        <v>148288.88103898038</v>
      </c>
      <c r="AF71" s="92">
        <f t="shared" ref="AF71:AF89" si="135">IF(AD71&lt;=$Z71,1,0)</f>
        <v>0</v>
      </c>
      <c r="AG71" s="92">
        <f t="shared" ref="AG71:AG89" si="136">IF(AD71&gt;=$AA71,1,0)</f>
        <v>0</v>
      </c>
      <c r="AH71" s="85">
        <f t="shared" ref="AH71:AH89" si="137">MAX(MIN(AD71,$AA71),$Z71)</f>
        <v>6872.3004009101596</v>
      </c>
      <c r="AI71" s="85">
        <f t="shared" si="98"/>
        <v>148288.88103898038</v>
      </c>
      <c r="AJ71" s="93">
        <f t="shared" si="99"/>
        <v>177861.19891764704</v>
      </c>
      <c r="AK71" s="93">
        <f t="shared" si="100"/>
        <v>148995.67364894116</v>
      </c>
      <c r="AL71" s="94">
        <f t="shared" ref="AL71:AL89" si="138">IF(OR(AND(AF71=1,AI$90&gt;$T$90),AND(AG71=1,AI$90&lt;$T$90)),1,0)</f>
        <v>0</v>
      </c>
      <c r="AM71" s="95"/>
      <c r="AN71" s="85">
        <f t="shared" ref="AN71:AN89" si="139">IF(AL71=1,AH71,$P71*AN$3)</f>
        <v>6851.2717528706553</v>
      </c>
      <c r="AO71" s="85">
        <f t="shared" si="101"/>
        <v>147835.12981950113</v>
      </c>
      <c r="AP71" s="92">
        <f t="shared" ref="AP71:AP89" si="140">IF(AN71&lt;=$Z71,1,0)</f>
        <v>0</v>
      </c>
      <c r="AQ71" s="92">
        <f t="shared" ref="AQ71:AQ89" si="141">IF(AN71&gt;=$AA71,1,0)</f>
        <v>0</v>
      </c>
      <c r="AR71" s="85">
        <f t="shared" ref="AR71:AR89" si="142">MAX(MIN(AN71,$AA71),$Z71)</f>
        <v>6851.2717528706553</v>
      </c>
      <c r="AS71" s="85">
        <f t="shared" si="102"/>
        <v>147835.12981950113</v>
      </c>
      <c r="AT71" s="93">
        <f t="shared" si="103"/>
        <v>177861.19891764704</v>
      </c>
      <c r="AU71" s="93">
        <f t="shared" si="104"/>
        <v>148995.67364894116</v>
      </c>
      <c r="AV71" s="94">
        <f t="shared" si="105"/>
        <v>0</v>
      </c>
      <c r="AW71" s="92">
        <f t="shared" si="13"/>
        <v>0</v>
      </c>
      <c r="AX71" s="95"/>
      <c r="AY71" s="85">
        <f t="shared" ref="AY71:AY89" si="143">IF(AV71=1,AR71,$P71*AY$3)</f>
        <v>6863.3098505384096</v>
      </c>
      <c r="AZ71" s="85">
        <f t="shared" si="106"/>
        <v>148094.88505848238</v>
      </c>
      <c r="BA71" s="92">
        <f t="shared" ref="BA71:BA89" si="144">IF(AY71&lt;=$Z71,1,0)</f>
        <v>0</v>
      </c>
      <c r="BB71" s="92">
        <f t="shared" ref="BB71:BB89" si="145">IF(AY71&gt;=$AA71,1,0)</f>
        <v>0</v>
      </c>
      <c r="BC71" s="85">
        <f t="shared" ref="BC71:BC89" si="146">MAX(MIN(AY71,$AA71),$Z71)</f>
        <v>6863.3098505384096</v>
      </c>
      <c r="BD71" s="85">
        <f t="shared" si="107"/>
        <v>148094.88505848238</v>
      </c>
      <c r="BE71" s="93">
        <f t="shared" si="108"/>
        <v>177861.19891764704</v>
      </c>
      <c r="BF71" s="93">
        <f t="shared" si="109"/>
        <v>148995.67364894116</v>
      </c>
      <c r="BG71" s="94">
        <f t="shared" si="110"/>
        <v>0</v>
      </c>
      <c r="BH71" s="92">
        <f t="shared" si="111"/>
        <v>0</v>
      </c>
      <c r="BI71" s="95"/>
      <c r="BJ71" s="85">
        <f t="shared" ref="BJ71:BJ89" si="147">IF(BG71=1,BC71,$P71*BJ$3)</f>
        <v>6863.3098505384096</v>
      </c>
      <c r="BK71" s="85">
        <f t="shared" si="112"/>
        <v>148094.88505848238</v>
      </c>
      <c r="BL71" s="92">
        <f t="shared" ref="BL71:BL89" si="148">IF(BJ71&lt;=$Z71,1,0)</f>
        <v>0</v>
      </c>
      <c r="BM71" s="92">
        <f t="shared" ref="BM71:BM89" si="149">IF(BJ71&gt;=$AA71,1,0)</f>
        <v>0</v>
      </c>
      <c r="BN71" s="85">
        <f t="shared" ref="BN71:BN89" si="150">MAX(MIN(BJ71,$AA71),$Z71)</f>
        <v>6863.3098505384096</v>
      </c>
      <c r="BO71" s="85">
        <f t="shared" si="113"/>
        <v>148094.88505848238</v>
      </c>
      <c r="BP71" s="93">
        <f t="shared" si="114"/>
        <v>177861.19891764704</v>
      </c>
      <c r="BQ71" s="93">
        <f t="shared" si="115"/>
        <v>148995.67364894116</v>
      </c>
      <c r="BR71" s="94">
        <f t="shared" si="116"/>
        <v>0</v>
      </c>
      <c r="BS71" s="92">
        <f t="shared" si="117"/>
        <v>0</v>
      </c>
      <c r="BT71" s="95"/>
      <c r="BU71" s="85">
        <f t="shared" ref="BU71:BU89" si="151">IF(BR71=1,BN71,$P71*BU$3)</f>
        <v>6863.3098505384096</v>
      </c>
      <c r="BV71" s="85">
        <f t="shared" si="118"/>
        <v>148094.88505848238</v>
      </c>
      <c r="BW71" s="92">
        <f t="shared" ref="BW71:BW89" si="152">IF(BU71&lt;=$Z71,1,0)</f>
        <v>0</v>
      </c>
      <c r="BX71" s="92">
        <f t="shared" ref="BX71:BX89" si="153">IF(BU71&gt;=$AA71,1,0)</f>
        <v>0</v>
      </c>
      <c r="BY71" s="85">
        <f t="shared" ref="BY71:BY89" si="154">MAX(MIN(BU71,$AA71),$Z71)</f>
        <v>6863.3098505384096</v>
      </c>
      <c r="BZ71" s="85">
        <f t="shared" si="119"/>
        <v>148094.88505848238</v>
      </c>
      <c r="CA71" s="96">
        <f t="shared" si="120"/>
        <v>177861.19891764704</v>
      </c>
      <c r="CB71" s="96">
        <f t="shared" si="121"/>
        <v>148995.67364894116</v>
      </c>
      <c r="CC71" s="94">
        <f t="shared" si="122"/>
        <v>0</v>
      </c>
      <c r="CD71" s="92">
        <f t="shared" si="123"/>
        <v>0</v>
      </c>
      <c r="CE71" s="66"/>
      <c r="CF71" s="85">
        <f t="shared" si="124"/>
        <v>6863.3098505384096</v>
      </c>
      <c r="CG71" s="85">
        <f t="shared" si="125"/>
        <v>148094.88505848238</v>
      </c>
      <c r="CH71" s="92">
        <f t="shared" ref="CH71:CH89" si="155">IF(CF71&lt;=$Z71,1,0)</f>
        <v>0</v>
      </c>
      <c r="CI71" s="92">
        <f t="shared" ref="CI71:CI89" si="156">IF(CF71&gt;=$AA71,1,0)</f>
        <v>0</v>
      </c>
      <c r="CJ71" s="85">
        <f t="shared" ref="CJ71:CJ89" si="157">MAX(MIN(CF71,$AA71),$Z71)</f>
        <v>6863.3098505384096</v>
      </c>
      <c r="CK71" s="85">
        <f t="shared" si="126"/>
        <v>148094.88505848238</v>
      </c>
      <c r="CL71" s="97">
        <f t="shared" si="127"/>
        <v>0.99395426344672799</v>
      </c>
      <c r="CM71" s="261"/>
      <c r="CN71" s="295">
        <f t="shared" ref="CN71:CN89" si="158">ROUND(CJ71*$S$3,2)</f>
        <v>7000.58</v>
      </c>
      <c r="CP71" s="85">
        <f t="shared" ref="CP71:CP89" si="159">CN71</f>
        <v>7000.58</v>
      </c>
      <c r="CQ71" s="85">
        <f t="shared" ref="CQ71:CQ89" si="160">CP71*(1-CQ$4)</f>
        <v>6300.5219999999999</v>
      </c>
      <c r="CR71" s="85">
        <f t="shared" ref="CR71:CR89" si="161">CP71*(1+CQ$4)</f>
        <v>7700.6380000000008</v>
      </c>
      <c r="CS71" s="295">
        <f t="shared" ref="CS71:CS89" si="162">CF71*S$3</f>
        <v>7000.5760475491779</v>
      </c>
      <c r="CT71" s="295">
        <f t="shared" ref="CT71:CT89" si="163">MIN(MAX(CS71,CQ71),CR71)</f>
        <v>7000.5760475491779</v>
      </c>
      <c r="CU71" s="303"/>
      <c r="CV71" s="303"/>
    </row>
    <row r="72" spans="1:100" s="153" customFormat="1" ht="15" customHeight="1" x14ac:dyDescent="0.3">
      <c r="A72" s="174">
        <v>61316</v>
      </c>
      <c r="B72" s="176" t="s">
        <v>273</v>
      </c>
      <c r="C72" s="175">
        <f>VLOOKUP($A72,'Fed Bs Rt+IME+GME+VBP+RAA+HAC'!$B$5:$AC$88,15,FALSE)</f>
        <v>6594.24</v>
      </c>
      <c r="D72" s="175">
        <f>VLOOKUP($A72,'Fed Bs Rt+IME+GME+VBP+RAA+HAC'!$B$5:$AC$88,21,FALSE)</f>
        <v>0</v>
      </c>
      <c r="E72" s="175">
        <f>VLOOKUP($A72,'Fed Bs Rt+IME+GME+VBP+RAA+HAC'!$B$5:$AC$88,25,FALSE)</f>
        <v>0</v>
      </c>
      <c r="F72" s="175">
        <f>VLOOKUP($A72,'Fed Bs Rt+IME+GME+VBP+RAA+HAC'!$B$5:$AC$88,23,FALSE)</f>
        <v>0</v>
      </c>
      <c r="G72" s="175">
        <f>VLOOKUP($A72,'Fed Bs Rt+IME+GME+VBP+RAA+HAC'!$B$5:$AC$88,28,FALSE)</f>
        <v>0</v>
      </c>
      <c r="H72" s="175">
        <f t="shared" si="128"/>
        <v>0</v>
      </c>
      <c r="I72" s="175">
        <f>VLOOKUP($A72,'Fed Bs Rt+IME+GME+VBP+RAA+HAC'!$B$5:$AC$88,16,FALSE)</f>
        <v>0</v>
      </c>
      <c r="J72" s="175">
        <f t="shared" si="129"/>
        <v>1648.56</v>
      </c>
      <c r="K72" s="175">
        <f t="shared" si="93"/>
        <v>0</v>
      </c>
      <c r="L72" s="294">
        <f>IF(OR(J72&gt;0,K72&gt;0,M72&gt;0),0,IF(VLOOKUP(A72,'Low Discharge'!A:C,3,FALSE)&lt;=L$3,L$1*C72,IF(VLOOKUP(A72,'Low Discharge'!A:C,3,FALSE)&gt;=L$2,0,(VLOOKUP(A72,'Low Discharge'!A:C,3,FALSE)-L$2)/(L$3-L$2)*L$1*C72)))</f>
        <v>0</v>
      </c>
      <c r="M72" s="170">
        <f>IF(VLOOKUP($A72,Characteristics!$A:$E,3,FALSE)=2,M$1*C72,0)</f>
        <v>0</v>
      </c>
      <c r="N72" s="170">
        <f>IF(VLOOKUP($A72,Characteristics!$A:$E,5,FALSE)&gt;=N$2,N$1*C72,IF(VLOOKUP($A72,Characteristics!$A:$E,5,FALSE)&lt;=N$3,0,(VLOOKUP($A72,Characteristics!$A:$E,5,FALSE)-N$3)/(N$2-N$3)*N$1*C72))</f>
        <v>416.20251890560576</v>
      </c>
      <c r="O72" s="170">
        <f>IF(VLOOKUP($A72,Characteristics!$A:$F,6,FALSE)&lt;=O$3,O$1*C72,IF(VLOOKUP($A72,Characteristics!$A:$F,6,FALSE)&gt;=O$2,0,(VLOOKUP($A72,Characteristics!$A:$F,6,FALSE)-O$2)/(O$3-O$2)*O$1*C72))</f>
        <v>1185.3749521816771</v>
      </c>
      <c r="P72" s="175">
        <f t="shared" si="94"/>
        <v>9844.3774710872822</v>
      </c>
      <c r="Q72" s="175"/>
      <c r="R72" s="85">
        <v>6736.64</v>
      </c>
      <c r="S72" s="86">
        <f t="shared" si="130"/>
        <v>6905.0559999999996</v>
      </c>
      <c r="T72" s="85">
        <f t="shared" si="95"/>
        <v>168723.24204104347</v>
      </c>
      <c r="U72" s="305">
        <v>30</v>
      </c>
      <c r="V72" s="89">
        <v>0.81449130434782613</v>
      </c>
      <c r="W72" s="90">
        <f t="shared" si="96"/>
        <v>240544.79540754706</v>
      </c>
      <c r="X72" s="98" t="s">
        <v>5</v>
      </c>
      <c r="Y72" s="85">
        <f t="shared" si="131"/>
        <v>6905.0559999999996</v>
      </c>
      <c r="Z72" s="85">
        <f t="shared" si="132"/>
        <v>6214.5504000000001</v>
      </c>
      <c r="AA72" s="85">
        <f t="shared" si="133"/>
        <v>7595.5616</v>
      </c>
      <c r="AB72" s="230"/>
      <c r="AC72" s="101"/>
      <c r="AD72" s="85">
        <f t="shared" si="134"/>
        <v>8207.5895619527437</v>
      </c>
      <c r="AE72" s="85">
        <f t="shared" si="97"/>
        <v>200550.30983599479</v>
      </c>
      <c r="AF72" s="92">
        <f t="shared" si="135"/>
        <v>0</v>
      </c>
      <c r="AG72" s="92">
        <f t="shared" si="136"/>
        <v>1</v>
      </c>
      <c r="AH72" s="85">
        <f t="shared" si="137"/>
        <v>7595.5616</v>
      </c>
      <c r="AI72" s="85">
        <f t="shared" si="98"/>
        <v>185595.56624514784</v>
      </c>
      <c r="AJ72" s="93">
        <f t="shared" si="99"/>
        <v>240544.79540754706</v>
      </c>
      <c r="AK72" s="93">
        <f t="shared" si="100"/>
        <v>168723.24204104347</v>
      </c>
      <c r="AL72" s="94">
        <f t="shared" si="138"/>
        <v>0</v>
      </c>
      <c r="AM72" s="95"/>
      <c r="AN72" s="85">
        <f t="shared" si="139"/>
        <v>8182.4750439482414</v>
      </c>
      <c r="AO72" s="85">
        <f t="shared" si="101"/>
        <v>199936.64314016816</v>
      </c>
      <c r="AP72" s="92">
        <f t="shared" si="140"/>
        <v>0</v>
      </c>
      <c r="AQ72" s="92">
        <f t="shared" si="141"/>
        <v>1</v>
      </c>
      <c r="AR72" s="85">
        <f t="shared" si="142"/>
        <v>7595.5616</v>
      </c>
      <c r="AS72" s="85">
        <f t="shared" si="102"/>
        <v>185595.56624514784</v>
      </c>
      <c r="AT72" s="93">
        <f t="shared" si="103"/>
        <v>0</v>
      </c>
      <c r="AU72" s="93">
        <f t="shared" si="104"/>
        <v>-16872.32420410437</v>
      </c>
      <c r="AV72" s="94">
        <f t="shared" si="105"/>
        <v>1</v>
      </c>
      <c r="AW72" s="92">
        <f t="shared" ref="AW72:AW89" si="164">IF(AV72=AL72,0,1)</f>
        <v>1</v>
      </c>
      <c r="AX72" s="95"/>
      <c r="AY72" s="85">
        <f t="shared" si="143"/>
        <v>7595.5616</v>
      </c>
      <c r="AZ72" s="85">
        <f t="shared" si="106"/>
        <v>185595.56624514784</v>
      </c>
      <c r="BA72" s="92">
        <f t="shared" si="144"/>
        <v>0</v>
      </c>
      <c r="BB72" s="92">
        <f t="shared" si="145"/>
        <v>1</v>
      </c>
      <c r="BC72" s="85">
        <f t="shared" si="146"/>
        <v>7595.5616</v>
      </c>
      <c r="BD72" s="85">
        <f t="shared" si="107"/>
        <v>185595.56624514784</v>
      </c>
      <c r="BE72" s="93">
        <f t="shared" si="108"/>
        <v>0</v>
      </c>
      <c r="BF72" s="93">
        <f t="shared" si="109"/>
        <v>-16872.32420410437</v>
      </c>
      <c r="BG72" s="94">
        <f t="shared" si="110"/>
        <v>1</v>
      </c>
      <c r="BH72" s="92">
        <f t="shared" si="111"/>
        <v>0</v>
      </c>
      <c r="BI72" s="95"/>
      <c r="BJ72" s="85">
        <f t="shared" si="147"/>
        <v>7595.5616</v>
      </c>
      <c r="BK72" s="85">
        <f t="shared" si="112"/>
        <v>185595.56624514784</v>
      </c>
      <c r="BL72" s="92">
        <f t="shared" si="148"/>
        <v>0</v>
      </c>
      <c r="BM72" s="92">
        <f t="shared" si="149"/>
        <v>1</v>
      </c>
      <c r="BN72" s="85">
        <f t="shared" si="150"/>
        <v>7595.5616</v>
      </c>
      <c r="BO72" s="85">
        <f t="shared" si="113"/>
        <v>185595.56624514784</v>
      </c>
      <c r="BP72" s="93">
        <f t="shared" si="114"/>
        <v>0</v>
      </c>
      <c r="BQ72" s="93">
        <f t="shared" si="115"/>
        <v>-16872.32420410437</v>
      </c>
      <c r="BR72" s="94">
        <f t="shared" si="116"/>
        <v>1</v>
      </c>
      <c r="BS72" s="92">
        <f t="shared" si="117"/>
        <v>0</v>
      </c>
      <c r="BT72" s="95"/>
      <c r="BU72" s="85">
        <f t="shared" si="151"/>
        <v>7595.5616</v>
      </c>
      <c r="BV72" s="85">
        <f t="shared" si="118"/>
        <v>185595.56624514784</v>
      </c>
      <c r="BW72" s="92">
        <f t="shared" si="152"/>
        <v>0</v>
      </c>
      <c r="BX72" s="92">
        <f t="shared" si="153"/>
        <v>1</v>
      </c>
      <c r="BY72" s="85">
        <f t="shared" si="154"/>
        <v>7595.5616</v>
      </c>
      <c r="BZ72" s="85">
        <f t="shared" si="119"/>
        <v>185595.56624514784</v>
      </c>
      <c r="CA72" s="96">
        <f t="shared" si="120"/>
        <v>0</v>
      </c>
      <c r="CB72" s="96">
        <f t="shared" si="121"/>
        <v>-16872.32420410437</v>
      </c>
      <c r="CC72" s="94">
        <f t="shared" si="122"/>
        <v>1</v>
      </c>
      <c r="CD72" s="92">
        <f t="shared" si="123"/>
        <v>0</v>
      </c>
      <c r="CE72" s="66"/>
      <c r="CF72" s="85">
        <f t="shared" si="124"/>
        <v>8196.8521460828542</v>
      </c>
      <c r="CG72" s="85">
        <f t="shared" si="125"/>
        <v>200287.94388027905</v>
      </c>
      <c r="CH72" s="92">
        <f t="shared" si="155"/>
        <v>0</v>
      </c>
      <c r="CI72" s="92">
        <f t="shared" si="156"/>
        <v>1</v>
      </c>
      <c r="CJ72" s="85">
        <f t="shared" si="157"/>
        <v>7595.5616</v>
      </c>
      <c r="CK72" s="85">
        <f t="shared" si="126"/>
        <v>185595.56624514784</v>
      </c>
      <c r="CL72" s="97">
        <f t="shared" si="127"/>
        <v>1.1000000000000001</v>
      </c>
      <c r="CM72" s="261"/>
      <c r="CN72" s="295">
        <f t="shared" si="158"/>
        <v>7747.47</v>
      </c>
      <c r="CP72" s="85">
        <f t="shared" si="159"/>
        <v>7747.47</v>
      </c>
      <c r="CQ72" s="85">
        <f t="shared" si="160"/>
        <v>6972.723</v>
      </c>
      <c r="CR72" s="85">
        <f t="shared" si="161"/>
        <v>8522.2170000000006</v>
      </c>
      <c r="CS72" s="295">
        <f t="shared" si="162"/>
        <v>8360.7891890045121</v>
      </c>
      <c r="CT72" s="295">
        <f t="shared" si="163"/>
        <v>8360.7891890045121</v>
      </c>
      <c r="CU72" s="303"/>
      <c r="CV72" s="303"/>
    </row>
    <row r="73" spans="1:100" s="153" customFormat="1" ht="15" customHeight="1" x14ac:dyDescent="0.3">
      <c r="A73" s="174">
        <v>61317</v>
      </c>
      <c r="B73" s="176" t="s">
        <v>273</v>
      </c>
      <c r="C73" s="175">
        <f>VLOOKUP($A73,'Fed Bs Rt+IME+GME+VBP+RAA+HAC'!$B$5:$AC$88,15,FALSE)</f>
        <v>6594.24</v>
      </c>
      <c r="D73" s="175">
        <f>VLOOKUP($A73,'Fed Bs Rt+IME+GME+VBP+RAA+HAC'!$B$5:$AC$88,21,FALSE)</f>
        <v>0</v>
      </c>
      <c r="E73" s="175">
        <f>VLOOKUP($A73,'Fed Bs Rt+IME+GME+VBP+RAA+HAC'!$B$5:$AC$88,25,FALSE)</f>
        <v>0</v>
      </c>
      <c r="F73" s="175">
        <f>VLOOKUP($A73,'Fed Bs Rt+IME+GME+VBP+RAA+HAC'!$B$5:$AC$88,23,FALSE)</f>
        <v>0</v>
      </c>
      <c r="G73" s="175">
        <f>VLOOKUP($A73,'Fed Bs Rt+IME+GME+VBP+RAA+HAC'!$B$5:$AC$88,28,FALSE)</f>
        <v>0</v>
      </c>
      <c r="H73" s="175">
        <f t="shared" si="128"/>
        <v>0</v>
      </c>
      <c r="I73" s="175">
        <f>VLOOKUP($A73,'Fed Bs Rt+IME+GME+VBP+RAA+HAC'!$B$5:$AC$88,16,FALSE)</f>
        <v>0</v>
      </c>
      <c r="J73" s="175">
        <f t="shared" si="129"/>
        <v>1648.56</v>
      </c>
      <c r="K73" s="175">
        <f t="shared" si="93"/>
        <v>0</v>
      </c>
      <c r="L73" s="294">
        <f>IF(OR(J73&gt;0,K73&gt;0,M73&gt;0),0,IF(VLOOKUP(A73,'Low Discharge'!A:C,3,FALSE)&lt;=L$3,L$1*C73,IF(VLOOKUP(A73,'Low Discharge'!A:C,3,FALSE)&gt;=L$2,0,(VLOOKUP(A73,'Low Discharge'!A:C,3,FALSE)-L$2)/(L$3-L$2)*L$1*C73)))</f>
        <v>0</v>
      </c>
      <c r="M73" s="170">
        <f>IF(VLOOKUP($A73,Characteristics!$A:$E,3,FALSE)=2,M$1*C73,0)</f>
        <v>0</v>
      </c>
      <c r="N73" s="170">
        <f>IF(VLOOKUP($A73,Characteristics!$A:$E,5,FALSE)&gt;=N$2,N$1*C73,IF(VLOOKUP($A73,Characteristics!$A:$E,5,FALSE)&lt;=N$3,0,(VLOOKUP($A73,Characteristics!$A:$E,5,FALSE)-N$3)/(N$2-N$3)*N$1*C73))</f>
        <v>0</v>
      </c>
      <c r="O73" s="170">
        <f>IF(VLOOKUP($A73,Characteristics!$A:$F,6,FALSE)&lt;=O$3,O$1*C73,IF(VLOOKUP($A73,Characteristics!$A:$F,6,FALSE)&gt;=O$2,0,(VLOOKUP($A73,Characteristics!$A:$F,6,FALSE)-O$2)/(O$3-O$2)*O$1*C73))</f>
        <v>1318.848</v>
      </c>
      <c r="P73" s="175">
        <f t="shared" si="94"/>
        <v>9561.6479999999992</v>
      </c>
      <c r="Q73" s="175"/>
      <c r="R73" s="85">
        <v>6736.64</v>
      </c>
      <c r="S73" s="86">
        <f t="shared" si="130"/>
        <v>6905.0559999999996</v>
      </c>
      <c r="T73" s="85">
        <f t="shared" si="95"/>
        <v>225217.18969309091</v>
      </c>
      <c r="U73" s="305">
        <v>30</v>
      </c>
      <c r="V73" s="89">
        <v>1.087209090909091</v>
      </c>
      <c r="W73" s="90">
        <f t="shared" si="96"/>
        <v>311865.31889018184</v>
      </c>
      <c r="X73" s="98" t="s">
        <v>5</v>
      </c>
      <c r="Y73" s="85">
        <f t="shared" si="131"/>
        <v>6905.0559999999996</v>
      </c>
      <c r="Z73" s="85">
        <f t="shared" si="132"/>
        <v>6214.5504000000001</v>
      </c>
      <c r="AA73" s="85">
        <f t="shared" si="133"/>
        <v>7595.5616</v>
      </c>
      <c r="AB73" s="230"/>
      <c r="AC73" s="101"/>
      <c r="AD73" s="85">
        <f t="shared" si="134"/>
        <v>7971.8684650557852</v>
      </c>
      <c r="AE73" s="85">
        <f t="shared" si="97"/>
        <v>260012.63600220453</v>
      </c>
      <c r="AF73" s="92">
        <f t="shared" si="135"/>
        <v>0</v>
      </c>
      <c r="AG73" s="92">
        <f t="shared" si="136"/>
        <v>1</v>
      </c>
      <c r="AH73" s="85">
        <f t="shared" si="137"/>
        <v>7595.5616</v>
      </c>
      <c r="AI73" s="85">
        <f t="shared" si="98"/>
        <v>247738.90866240003</v>
      </c>
      <c r="AJ73" s="93">
        <f t="shared" si="99"/>
        <v>311865.31889018184</v>
      </c>
      <c r="AK73" s="93">
        <f t="shared" si="100"/>
        <v>225217.18969309091</v>
      </c>
      <c r="AL73" s="94">
        <f t="shared" si="138"/>
        <v>0</v>
      </c>
      <c r="AM73" s="95"/>
      <c r="AN73" s="85">
        <f t="shared" si="139"/>
        <v>7947.4752333299602</v>
      </c>
      <c r="AO73" s="85">
        <f t="shared" si="101"/>
        <v>259217.01970353548</v>
      </c>
      <c r="AP73" s="92">
        <f t="shared" si="140"/>
        <v>0</v>
      </c>
      <c r="AQ73" s="92">
        <f t="shared" si="141"/>
        <v>1</v>
      </c>
      <c r="AR73" s="85">
        <f t="shared" si="142"/>
        <v>7595.5616</v>
      </c>
      <c r="AS73" s="85">
        <f t="shared" si="102"/>
        <v>247738.90866240003</v>
      </c>
      <c r="AT73" s="93">
        <f t="shared" si="103"/>
        <v>0</v>
      </c>
      <c r="AU73" s="93">
        <f t="shared" si="104"/>
        <v>-22521.71896930912</v>
      </c>
      <c r="AV73" s="94">
        <f t="shared" si="105"/>
        <v>1</v>
      </c>
      <c r="AW73" s="92">
        <f t="shared" si="164"/>
        <v>1</v>
      </c>
      <c r="AX73" s="95"/>
      <c r="AY73" s="85">
        <f t="shared" si="143"/>
        <v>7595.5616</v>
      </c>
      <c r="AZ73" s="85">
        <f t="shared" si="106"/>
        <v>247738.90866240003</v>
      </c>
      <c r="BA73" s="92">
        <f t="shared" si="144"/>
        <v>0</v>
      </c>
      <c r="BB73" s="92">
        <f t="shared" si="145"/>
        <v>1</v>
      </c>
      <c r="BC73" s="85">
        <f t="shared" si="146"/>
        <v>7595.5616</v>
      </c>
      <c r="BD73" s="85">
        <f t="shared" si="107"/>
        <v>247738.90866240003</v>
      </c>
      <c r="BE73" s="93">
        <f t="shared" si="108"/>
        <v>0</v>
      </c>
      <c r="BF73" s="93">
        <f t="shared" si="109"/>
        <v>-22521.71896930912</v>
      </c>
      <c r="BG73" s="94">
        <f t="shared" si="110"/>
        <v>1</v>
      </c>
      <c r="BH73" s="92">
        <f t="shared" si="111"/>
        <v>0</v>
      </c>
      <c r="BI73" s="95"/>
      <c r="BJ73" s="85">
        <f t="shared" si="147"/>
        <v>7595.5616</v>
      </c>
      <c r="BK73" s="85">
        <f t="shared" si="112"/>
        <v>247738.90866240003</v>
      </c>
      <c r="BL73" s="92">
        <f t="shared" si="148"/>
        <v>0</v>
      </c>
      <c r="BM73" s="92">
        <f t="shared" si="149"/>
        <v>1</v>
      </c>
      <c r="BN73" s="85">
        <f t="shared" si="150"/>
        <v>7595.5616</v>
      </c>
      <c r="BO73" s="85">
        <f t="shared" si="113"/>
        <v>247738.90866240003</v>
      </c>
      <c r="BP73" s="93">
        <f t="shared" si="114"/>
        <v>0</v>
      </c>
      <c r="BQ73" s="93">
        <f t="shared" si="115"/>
        <v>-22521.71896930912</v>
      </c>
      <c r="BR73" s="94">
        <f t="shared" si="116"/>
        <v>1</v>
      </c>
      <c r="BS73" s="92">
        <f t="shared" si="117"/>
        <v>0</v>
      </c>
      <c r="BT73" s="95"/>
      <c r="BU73" s="85">
        <f t="shared" si="151"/>
        <v>7595.5616</v>
      </c>
      <c r="BV73" s="85">
        <f t="shared" si="118"/>
        <v>247738.90866240003</v>
      </c>
      <c r="BW73" s="92">
        <f t="shared" si="152"/>
        <v>0</v>
      </c>
      <c r="BX73" s="92">
        <f t="shared" si="153"/>
        <v>1</v>
      </c>
      <c r="BY73" s="85">
        <f t="shared" si="154"/>
        <v>7595.5616</v>
      </c>
      <c r="BZ73" s="85">
        <f t="shared" si="119"/>
        <v>247738.90866240003</v>
      </c>
      <c r="CA73" s="96">
        <f t="shared" si="120"/>
        <v>0</v>
      </c>
      <c r="CB73" s="96">
        <f t="shared" si="121"/>
        <v>-22521.71896930912</v>
      </c>
      <c r="CC73" s="94">
        <f t="shared" si="122"/>
        <v>1</v>
      </c>
      <c r="CD73" s="92">
        <f t="shared" si="123"/>
        <v>0</v>
      </c>
      <c r="CE73" s="66"/>
      <c r="CF73" s="85">
        <f t="shared" si="124"/>
        <v>7961.4394266245554</v>
      </c>
      <c r="CG73" s="85">
        <f t="shared" si="125"/>
        <v>259672.47964044835</v>
      </c>
      <c r="CH73" s="92">
        <f t="shared" si="155"/>
        <v>0</v>
      </c>
      <c r="CI73" s="92">
        <f t="shared" si="156"/>
        <v>1</v>
      </c>
      <c r="CJ73" s="85">
        <f t="shared" si="157"/>
        <v>7595.5616</v>
      </c>
      <c r="CK73" s="85">
        <f t="shared" si="126"/>
        <v>247738.90866240003</v>
      </c>
      <c r="CL73" s="97">
        <f t="shared" si="127"/>
        <v>1.1000000000000001</v>
      </c>
      <c r="CM73" s="261"/>
      <c r="CN73" s="295">
        <f t="shared" si="158"/>
        <v>7747.47</v>
      </c>
      <c r="CP73" s="85">
        <f t="shared" si="159"/>
        <v>7747.47</v>
      </c>
      <c r="CQ73" s="85">
        <f t="shared" si="160"/>
        <v>6972.723</v>
      </c>
      <c r="CR73" s="85">
        <f t="shared" si="161"/>
        <v>8522.2170000000006</v>
      </c>
      <c r="CS73" s="295">
        <f t="shared" si="162"/>
        <v>8120.6682151570467</v>
      </c>
      <c r="CT73" s="295">
        <f t="shared" si="163"/>
        <v>8120.6682151570467</v>
      </c>
      <c r="CU73" s="303"/>
      <c r="CV73" s="303"/>
    </row>
    <row r="74" spans="1:100" s="153" customFormat="1" ht="15" customHeight="1" x14ac:dyDescent="0.3">
      <c r="A74" s="174">
        <v>61318</v>
      </c>
      <c r="B74" s="176" t="s">
        <v>273</v>
      </c>
      <c r="C74" s="175">
        <f>VLOOKUP($A74,'Fed Bs Rt+IME+GME+VBP+RAA+HAC'!$B$5:$AC$88,15,FALSE)</f>
        <v>6594.24</v>
      </c>
      <c r="D74" s="175">
        <f>VLOOKUP($A74,'Fed Bs Rt+IME+GME+VBP+RAA+HAC'!$B$5:$AC$88,21,FALSE)</f>
        <v>0</v>
      </c>
      <c r="E74" s="175">
        <f>VLOOKUP($A74,'Fed Bs Rt+IME+GME+VBP+RAA+HAC'!$B$5:$AC$88,25,FALSE)</f>
        <v>0</v>
      </c>
      <c r="F74" s="175">
        <f>VLOOKUP($A74,'Fed Bs Rt+IME+GME+VBP+RAA+HAC'!$B$5:$AC$88,23,FALSE)</f>
        <v>0</v>
      </c>
      <c r="G74" s="175">
        <f>VLOOKUP($A74,'Fed Bs Rt+IME+GME+VBP+RAA+HAC'!$B$5:$AC$88,28,FALSE)</f>
        <v>0</v>
      </c>
      <c r="H74" s="175">
        <f t="shared" si="128"/>
        <v>0</v>
      </c>
      <c r="I74" s="175">
        <f>VLOOKUP($A74,'Fed Bs Rt+IME+GME+VBP+RAA+HAC'!$B$5:$AC$88,16,FALSE)</f>
        <v>0</v>
      </c>
      <c r="J74" s="175">
        <f t="shared" si="129"/>
        <v>1648.56</v>
      </c>
      <c r="K74" s="175">
        <f t="shared" si="93"/>
        <v>0</v>
      </c>
      <c r="L74" s="294">
        <f>IF(OR(J74&gt;0,K74&gt;0,M74&gt;0),0,IF(VLOOKUP(A74,'Low Discharge'!A:C,3,FALSE)&lt;=L$3,L$1*C74,IF(VLOOKUP(A74,'Low Discharge'!A:C,3,FALSE)&gt;=L$2,0,(VLOOKUP(A74,'Low Discharge'!A:C,3,FALSE)-L$2)/(L$3-L$2)*L$1*C74)))</f>
        <v>0</v>
      </c>
      <c r="M74" s="170">
        <f>IF(VLOOKUP($A74,Characteristics!$A:$E,3,FALSE)=2,M$1*C74,0)</f>
        <v>0</v>
      </c>
      <c r="N74" s="170">
        <f>IF(VLOOKUP($A74,Characteristics!$A:$E,5,FALSE)&gt;=N$2,N$1*C74,IF(VLOOKUP($A74,Characteristics!$A:$E,5,FALSE)&lt;=N$3,0,(VLOOKUP($A74,Characteristics!$A:$E,5,FALSE)-N$3)/(N$2-N$3)*N$1*C74))</f>
        <v>659.42399999999998</v>
      </c>
      <c r="O74" s="170">
        <f>IF(VLOOKUP($A74,Characteristics!$A:$F,6,FALSE)&lt;=O$3,O$1*C74,IF(VLOOKUP($A74,Characteristics!$A:$F,6,FALSE)&gt;=O$2,0,(VLOOKUP($A74,Characteristics!$A:$F,6,FALSE)-O$2)/(O$3-O$2)*O$1*C74))</f>
        <v>0</v>
      </c>
      <c r="P74" s="175">
        <f t="shared" si="94"/>
        <v>8902.2239999999983</v>
      </c>
      <c r="Q74" s="175"/>
      <c r="R74" s="85">
        <v>6736.64</v>
      </c>
      <c r="S74" s="86">
        <f t="shared" si="130"/>
        <v>6905.0559999999996</v>
      </c>
      <c r="T74" s="85">
        <f t="shared" si="95"/>
        <v>184140.58087999999</v>
      </c>
      <c r="U74" s="305">
        <v>30</v>
      </c>
      <c r="V74" s="89">
        <v>0.88891666666666669</v>
      </c>
      <c r="W74" s="90">
        <f t="shared" si="96"/>
        <v>237400.05851999999</v>
      </c>
      <c r="X74" s="98" t="s">
        <v>5</v>
      </c>
      <c r="Y74" s="85">
        <f t="shared" si="131"/>
        <v>6905.0559999999996</v>
      </c>
      <c r="Z74" s="85">
        <f t="shared" si="132"/>
        <v>6214.5504000000001</v>
      </c>
      <c r="AA74" s="85">
        <f t="shared" si="133"/>
        <v>7595.5616</v>
      </c>
      <c r="AB74" s="230"/>
      <c r="AC74" s="101"/>
      <c r="AD74" s="85">
        <f t="shared" si="134"/>
        <v>7422.0844329829715</v>
      </c>
      <c r="AE74" s="85">
        <f t="shared" si="97"/>
        <v>197928.4366165734</v>
      </c>
      <c r="AF74" s="92">
        <f t="shared" si="135"/>
        <v>0</v>
      </c>
      <c r="AG74" s="92">
        <f t="shared" si="136"/>
        <v>0</v>
      </c>
      <c r="AH74" s="85">
        <f t="shared" si="137"/>
        <v>7422.0844329829715</v>
      </c>
      <c r="AI74" s="85">
        <f t="shared" si="98"/>
        <v>197928.4366165734</v>
      </c>
      <c r="AJ74" s="93">
        <f t="shared" si="99"/>
        <v>237400.05851999999</v>
      </c>
      <c r="AK74" s="93">
        <f t="shared" si="100"/>
        <v>184140.58087999999</v>
      </c>
      <c r="AL74" s="94">
        <f t="shared" si="138"/>
        <v>0</v>
      </c>
      <c r="AM74" s="95"/>
      <c r="AN74" s="85">
        <f t="shared" si="139"/>
        <v>7399.3734931003073</v>
      </c>
      <c r="AO74" s="85">
        <f t="shared" si="101"/>
        <v>197322.79262725243</v>
      </c>
      <c r="AP74" s="92">
        <f t="shared" si="140"/>
        <v>0</v>
      </c>
      <c r="AQ74" s="92">
        <f t="shared" si="141"/>
        <v>0</v>
      </c>
      <c r="AR74" s="85">
        <f t="shared" si="142"/>
        <v>7399.3734931003073</v>
      </c>
      <c r="AS74" s="85">
        <f t="shared" si="102"/>
        <v>197322.79262725243</v>
      </c>
      <c r="AT74" s="93">
        <f t="shared" si="103"/>
        <v>237400.05851999999</v>
      </c>
      <c r="AU74" s="93">
        <f t="shared" si="104"/>
        <v>184140.58087999999</v>
      </c>
      <c r="AV74" s="94">
        <f t="shared" si="105"/>
        <v>0</v>
      </c>
      <c r="AW74" s="92">
        <f t="shared" si="164"/>
        <v>0</v>
      </c>
      <c r="AX74" s="95"/>
      <c r="AY74" s="85">
        <f t="shared" si="143"/>
        <v>7412.374638581482</v>
      </c>
      <c r="AZ74" s="85">
        <f t="shared" si="106"/>
        <v>197669.50067437167</v>
      </c>
      <c r="BA74" s="92">
        <f t="shared" si="144"/>
        <v>0</v>
      </c>
      <c r="BB74" s="92">
        <f t="shared" si="145"/>
        <v>0</v>
      </c>
      <c r="BC74" s="85">
        <f t="shared" si="146"/>
        <v>7412.374638581482</v>
      </c>
      <c r="BD74" s="85">
        <f t="shared" si="107"/>
        <v>197669.50067437167</v>
      </c>
      <c r="BE74" s="93">
        <f t="shared" si="108"/>
        <v>237400.05851999999</v>
      </c>
      <c r="BF74" s="93">
        <f t="shared" si="109"/>
        <v>184140.58087999999</v>
      </c>
      <c r="BG74" s="94">
        <f t="shared" si="110"/>
        <v>0</v>
      </c>
      <c r="BH74" s="92">
        <f t="shared" si="111"/>
        <v>0</v>
      </c>
      <c r="BI74" s="95"/>
      <c r="BJ74" s="85">
        <f t="shared" si="147"/>
        <v>7412.374638581482</v>
      </c>
      <c r="BK74" s="85">
        <f t="shared" si="112"/>
        <v>197669.50067437167</v>
      </c>
      <c r="BL74" s="92">
        <f t="shared" si="148"/>
        <v>0</v>
      </c>
      <c r="BM74" s="92">
        <f t="shared" si="149"/>
        <v>0</v>
      </c>
      <c r="BN74" s="85">
        <f t="shared" si="150"/>
        <v>7412.374638581482</v>
      </c>
      <c r="BO74" s="85">
        <f t="shared" si="113"/>
        <v>197669.50067437167</v>
      </c>
      <c r="BP74" s="93">
        <f t="shared" si="114"/>
        <v>237400.05851999999</v>
      </c>
      <c r="BQ74" s="93">
        <f t="shared" si="115"/>
        <v>184140.58087999999</v>
      </c>
      <c r="BR74" s="94">
        <f t="shared" si="116"/>
        <v>0</v>
      </c>
      <c r="BS74" s="92">
        <f t="shared" si="117"/>
        <v>0</v>
      </c>
      <c r="BT74" s="95"/>
      <c r="BU74" s="85">
        <f t="shared" si="151"/>
        <v>7412.374638581482</v>
      </c>
      <c r="BV74" s="85">
        <f t="shared" si="118"/>
        <v>197669.50067437167</v>
      </c>
      <c r="BW74" s="92">
        <f t="shared" si="152"/>
        <v>0</v>
      </c>
      <c r="BX74" s="92">
        <f t="shared" si="153"/>
        <v>0</v>
      </c>
      <c r="BY74" s="85">
        <f t="shared" si="154"/>
        <v>7412.374638581482</v>
      </c>
      <c r="BZ74" s="85">
        <f t="shared" si="119"/>
        <v>197669.50067437167</v>
      </c>
      <c r="CA74" s="96">
        <f t="shared" si="120"/>
        <v>237400.05851999999</v>
      </c>
      <c r="CB74" s="96">
        <f t="shared" si="121"/>
        <v>184140.58087999999</v>
      </c>
      <c r="CC74" s="94">
        <f t="shared" si="122"/>
        <v>0</v>
      </c>
      <c r="CD74" s="92">
        <f t="shared" si="123"/>
        <v>0</v>
      </c>
      <c r="CE74" s="66"/>
      <c r="CF74" s="85">
        <f t="shared" si="124"/>
        <v>7412.374638581482</v>
      </c>
      <c r="CG74" s="85">
        <f t="shared" si="125"/>
        <v>197669.50067437167</v>
      </c>
      <c r="CH74" s="92">
        <f t="shared" si="155"/>
        <v>0</v>
      </c>
      <c r="CI74" s="92">
        <f t="shared" si="156"/>
        <v>0</v>
      </c>
      <c r="CJ74" s="85">
        <f t="shared" si="157"/>
        <v>7412.374638581482</v>
      </c>
      <c r="CK74" s="85">
        <f t="shared" si="126"/>
        <v>197669.50067437167</v>
      </c>
      <c r="CL74" s="97">
        <f t="shared" si="127"/>
        <v>1.0734706045224662</v>
      </c>
      <c r="CM74" s="261"/>
      <c r="CN74" s="295">
        <f t="shared" si="158"/>
        <v>7560.62</v>
      </c>
      <c r="CP74" s="85">
        <f t="shared" si="159"/>
        <v>7560.62</v>
      </c>
      <c r="CQ74" s="85">
        <f t="shared" si="160"/>
        <v>6804.558</v>
      </c>
      <c r="CR74" s="85">
        <f t="shared" si="161"/>
        <v>8316.6820000000007</v>
      </c>
      <c r="CS74" s="295">
        <f t="shared" si="162"/>
        <v>7560.6221313531114</v>
      </c>
      <c r="CT74" s="295">
        <f t="shared" si="163"/>
        <v>7560.6221313531114</v>
      </c>
      <c r="CU74" s="303"/>
      <c r="CV74" s="303"/>
    </row>
    <row r="75" spans="1:100" s="153" customFormat="1" ht="15" customHeight="1" x14ac:dyDescent="0.3">
      <c r="A75" s="174">
        <v>61319</v>
      </c>
      <c r="B75" s="176" t="s">
        <v>273</v>
      </c>
      <c r="C75" s="175">
        <f>VLOOKUP($A75,'Fed Bs Rt+IME+GME+VBP+RAA+HAC'!$B$5:$AC$88,15,FALSE)</f>
        <v>6594.24</v>
      </c>
      <c r="D75" s="175">
        <f>VLOOKUP($A75,'Fed Bs Rt+IME+GME+VBP+RAA+HAC'!$B$5:$AC$88,21,FALSE)</f>
        <v>0</v>
      </c>
      <c r="E75" s="175">
        <f>VLOOKUP($A75,'Fed Bs Rt+IME+GME+VBP+RAA+HAC'!$B$5:$AC$88,25,FALSE)</f>
        <v>0</v>
      </c>
      <c r="F75" s="175">
        <f>VLOOKUP($A75,'Fed Bs Rt+IME+GME+VBP+RAA+HAC'!$B$5:$AC$88,23,FALSE)</f>
        <v>0</v>
      </c>
      <c r="G75" s="175">
        <f>VLOOKUP($A75,'Fed Bs Rt+IME+GME+VBP+RAA+HAC'!$B$5:$AC$88,28,FALSE)</f>
        <v>0</v>
      </c>
      <c r="H75" s="175">
        <f t="shared" si="128"/>
        <v>0</v>
      </c>
      <c r="I75" s="175">
        <f>VLOOKUP($A75,'Fed Bs Rt+IME+GME+VBP+RAA+HAC'!$B$5:$AC$88,16,FALSE)</f>
        <v>0</v>
      </c>
      <c r="J75" s="175">
        <f t="shared" si="129"/>
        <v>1648.56</v>
      </c>
      <c r="K75" s="175">
        <f t="shared" si="93"/>
        <v>0</v>
      </c>
      <c r="L75" s="294">
        <f>IF(OR(J75&gt;0,K75&gt;0,M75&gt;0),0,IF(VLOOKUP(A75,'Low Discharge'!A:C,3,FALSE)&lt;=L$3,L$1*C75,IF(VLOOKUP(A75,'Low Discharge'!A:C,3,FALSE)&gt;=L$2,0,(VLOOKUP(A75,'Low Discharge'!A:C,3,FALSE)-L$2)/(L$3-L$2)*L$1*C75)))</f>
        <v>0</v>
      </c>
      <c r="M75" s="170">
        <f>IF(VLOOKUP($A75,Characteristics!$A:$E,3,FALSE)=2,M$1*C75,0)</f>
        <v>0</v>
      </c>
      <c r="N75" s="170">
        <f>IF(VLOOKUP($A75,Characteristics!$A:$E,5,FALSE)&gt;=N$2,N$1*C75,IF(VLOOKUP($A75,Characteristics!$A:$E,5,FALSE)&lt;=N$3,0,(VLOOKUP($A75,Characteristics!$A:$E,5,FALSE)-N$3)/(N$2-N$3)*N$1*C75))</f>
        <v>0</v>
      </c>
      <c r="O75" s="170">
        <f>IF(VLOOKUP($A75,Characteristics!$A:$F,6,FALSE)&lt;=O$3,O$1*C75,IF(VLOOKUP($A75,Characteristics!$A:$F,6,FALSE)&gt;=O$2,0,(VLOOKUP($A75,Characteristics!$A:$F,6,FALSE)-O$2)/(O$3-O$2)*O$1*C75))</f>
        <v>1318.848</v>
      </c>
      <c r="P75" s="175">
        <f t="shared" si="94"/>
        <v>9561.6479999999992</v>
      </c>
      <c r="Q75" s="175"/>
      <c r="R75" s="85">
        <v>6736.64</v>
      </c>
      <c r="S75" s="86">
        <f t="shared" si="130"/>
        <v>6905.0559999999996</v>
      </c>
      <c r="T75" s="85">
        <f t="shared" si="95"/>
        <v>185284.74865920001</v>
      </c>
      <c r="U75" s="305">
        <v>30</v>
      </c>
      <c r="V75" s="89">
        <v>0.89444000000000001</v>
      </c>
      <c r="W75" s="90">
        <f t="shared" si="96"/>
        <v>256569.6131136</v>
      </c>
      <c r="X75" s="98" t="s">
        <v>5</v>
      </c>
      <c r="Y75" s="85">
        <f t="shared" si="131"/>
        <v>6905.0559999999996</v>
      </c>
      <c r="Z75" s="85">
        <f t="shared" si="132"/>
        <v>6214.5504000000001</v>
      </c>
      <c r="AA75" s="85">
        <f t="shared" si="133"/>
        <v>7595.5616</v>
      </c>
      <c r="AB75" s="230"/>
      <c r="AC75" s="101"/>
      <c r="AD75" s="85">
        <f t="shared" si="134"/>
        <v>7971.8684650557852</v>
      </c>
      <c r="AE75" s="85">
        <f t="shared" si="97"/>
        <v>213910.7408965349</v>
      </c>
      <c r="AF75" s="92">
        <f t="shared" si="135"/>
        <v>0</v>
      </c>
      <c r="AG75" s="92">
        <f t="shared" si="136"/>
        <v>1</v>
      </c>
      <c r="AH75" s="85">
        <f t="shared" si="137"/>
        <v>7595.5616</v>
      </c>
      <c r="AI75" s="85">
        <f t="shared" si="98"/>
        <v>203813.22352512</v>
      </c>
      <c r="AJ75" s="93">
        <f t="shared" si="99"/>
        <v>256569.6131136</v>
      </c>
      <c r="AK75" s="93">
        <f t="shared" si="100"/>
        <v>185284.74865920001</v>
      </c>
      <c r="AL75" s="94">
        <f t="shared" si="138"/>
        <v>0</v>
      </c>
      <c r="AM75" s="95"/>
      <c r="AN75" s="85">
        <f t="shared" si="139"/>
        <v>7947.4752333299602</v>
      </c>
      <c r="AO75" s="85">
        <f t="shared" si="101"/>
        <v>213256.1924309895</v>
      </c>
      <c r="AP75" s="92">
        <f t="shared" si="140"/>
        <v>0</v>
      </c>
      <c r="AQ75" s="92">
        <f t="shared" si="141"/>
        <v>1</v>
      </c>
      <c r="AR75" s="85">
        <f t="shared" si="142"/>
        <v>7595.5616</v>
      </c>
      <c r="AS75" s="85">
        <f t="shared" si="102"/>
        <v>203813.22352512</v>
      </c>
      <c r="AT75" s="93">
        <f t="shared" si="103"/>
        <v>0</v>
      </c>
      <c r="AU75" s="93">
        <f t="shared" si="104"/>
        <v>-18528.474865919998</v>
      </c>
      <c r="AV75" s="94">
        <f t="shared" si="105"/>
        <v>1</v>
      </c>
      <c r="AW75" s="92">
        <f t="shared" si="164"/>
        <v>1</v>
      </c>
      <c r="AX75" s="95"/>
      <c r="AY75" s="85">
        <f t="shared" si="143"/>
        <v>7595.5616</v>
      </c>
      <c r="AZ75" s="85">
        <f t="shared" si="106"/>
        <v>203813.22352512</v>
      </c>
      <c r="BA75" s="92">
        <f t="shared" si="144"/>
        <v>0</v>
      </c>
      <c r="BB75" s="92">
        <f t="shared" si="145"/>
        <v>1</v>
      </c>
      <c r="BC75" s="85">
        <f t="shared" si="146"/>
        <v>7595.5616</v>
      </c>
      <c r="BD75" s="85">
        <f t="shared" si="107"/>
        <v>203813.22352512</v>
      </c>
      <c r="BE75" s="93">
        <f t="shared" si="108"/>
        <v>0</v>
      </c>
      <c r="BF75" s="93">
        <f t="shared" si="109"/>
        <v>-18528.474865919998</v>
      </c>
      <c r="BG75" s="94">
        <f t="shared" si="110"/>
        <v>1</v>
      </c>
      <c r="BH75" s="92">
        <f t="shared" si="111"/>
        <v>0</v>
      </c>
      <c r="BI75" s="95"/>
      <c r="BJ75" s="85">
        <f t="shared" si="147"/>
        <v>7595.5616</v>
      </c>
      <c r="BK75" s="85">
        <f t="shared" si="112"/>
        <v>203813.22352512</v>
      </c>
      <c r="BL75" s="92">
        <f t="shared" si="148"/>
        <v>0</v>
      </c>
      <c r="BM75" s="92">
        <f t="shared" si="149"/>
        <v>1</v>
      </c>
      <c r="BN75" s="85">
        <f t="shared" si="150"/>
        <v>7595.5616</v>
      </c>
      <c r="BO75" s="85">
        <f t="shared" si="113"/>
        <v>203813.22352512</v>
      </c>
      <c r="BP75" s="93">
        <f t="shared" si="114"/>
        <v>0</v>
      </c>
      <c r="BQ75" s="93">
        <f t="shared" si="115"/>
        <v>-18528.474865919998</v>
      </c>
      <c r="BR75" s="94">
        <f t="shared" si="116"/>
        <v>1</v>
      </c>
      <c r="BS75" s="92">
        <f t="shared" si="117"/>
        <v>0</v>
      </c>
      <c r="BT75" s="95"/>
      <c r="BU75" s="85">
        <f t="shared" si="151"/>
        <v>7595.5616</v>
      </c>
      <c r="BV75" s="85">
        <f t="shared" si="118"/>
        <v>203813.22352512</v>
      </c>
      <c r="BW75" s="92">
        <f t="shared" si="152"/>
        <v>0</v>
      </c>
      <c r="BX75" s="92">
        <f t="shared" si="153"/>
        <v>1</v>
      </c>
      <c r="BY75" s="85">
        <f t="shared" si="154"/>
        <v>7595.5616</v>
      </c>
      <c r="BZ75" s="85">
        <f t="shared" si="119"/>
        <v>203813.22352512</v>
      </c>
      <c r="CA75" s="96">
        <f t="shared" si="120"/>
        <v>0</v>
      </c>
      <c r="CB75" s="96">
        <f t="shared" si="121"/>
        <v>-18528.474865919998</v>
      </c>
      <c r="CC75" s="94">
        <f t="shared" si="122"/>
        <v>1</v>
      </c>
      <c r="CD75" s="92">
        <f t="shared" si="123"/>
        <v>0</v>
      </c>
      <c r="CE75" s="66"/>
      <c r="CF75" s="85">
        <f t="shared" si="124"/>
        <v>7961.4394266245554</v>
      </c>
      <c r="CG75" s="85">
        <f t="shared" si="125"/>
        <v>213630.89642250203</v>
      </c>
      <c r="CH75" s="92">
        <f t="shared" si="155"/>
        <v>0</v>
      </c>
      <c r="CI75" s="92">
        <f t="shared" si="156"/>
        <v>1</v>
      </c>
      <c r="CJ75" s="85">
        <f t="shared" si="157"/>
        <v>7595.5616</v>
      </c>
      <c r="CK75" s="85">
        <f t="shared" si="126"/>
        <v>203813.22352512</v>
      </c>
      <c r="CL75" s="97">
        <f t="shared" si="127"/>
        <v>1.1000000000000001</v>
      </c>
      <c r="CM75" s="261"/>
      <c r="CN75" s="295">
        <f t="shared" si="158"/>
        <v>7747.47</v>
      </c>
      <c r="CP75" s="85">
        <f t="shared" si="159"/>
        <v>7747.47</v>
      </c>
      <c r="CQ75" s="85">
        <f t="shared" si="160"/>
        <v>6972.723</v>
      </c>
      <c r="CR75" s="85">
        <f t="shared" si="161"/>
        <v>8522.2170000000006</v>
      </c>
      <c r="CS75" s="295">
        <f t="shared" si="162"/>
        <v>8120.6682151570467</v>
      </c>
      <c r="CT75" s="295">
        <f t="shared" si="163"/>
        <v>8120.6682151570467</v>
      </c>
      <c r="CU75" s="303"/>
      <c r="CV75" s="303"/>
    </row>
    <row r="76" spans="1:100" s="153" customFormat="1" ht="15" customHeight="1" x14ac:dyDescent="0.3">
      <c r="A76" s="174">
        <v>61320</v>
      </c>
      <c r="B76" s="176" t="s">
        <v>273</v>
      </c>
      <c r="C76" s="175">
        <f>VLOOKUP($A76,'Fed Bs Rt+IME+GME+VBP+RAA+HAC'!$B$5:$AC$88,15,FALSE)</f>
        <v>6594.24</v>
      </c>
      <c r="D76" s="175">
        <f>VLOOKUP($A76,'Fed Bs Rt+IME+GME+VBP+RAA+HAC'!$B$5:$AC$88,21,FALSE)</f>
        <v>0</v>
      </c>
      <c r="E76" s="175">
        <f>VLOOKUP($A76,'Fed Bs Rt+IME+GME+VBP+RAA+HAC'!$B$5:$AC$88,25,FALSE)</f>
        <v>0</v>
      </c>
      <c r="F76" s="175">
        <f>VLOOKUP($A76,'Fed Bs Rt+IME+GME+VBP+RAA+HAC'!$B$5:$AC$88,23,FALSE)</f>
        <v>0</v>
      </c>
      <c r="G76" s="175">
        <f>VLOOKUP($A76,'Fed Bs Rt+IME+GME+VBP+RAA+HAC'!$B$5:$AC$88,28,FALSE)</f>
        <v>0</v>
      </c>
      <c r="H76" s="175">
        <f t="shared" si="128"/>
        <v>0</v>
      </c>
      <c r="I76" s="175">
        <f>VLOOKUP($A76,'Fed Bs Rt+IME+GME+VBP+RAA+HAC'!$B$5:$AC$88,16,FALSE)</f>
        <v>0</v>
      </c>
      <c r="J76" s="175">
        <f t="shared" si="129"/>
        <v>1648.56</v>
      </c>
      <c r="K76" s="175">
        <f t="shared" si="93"/>
        <v>0</v>
      </c>
      <c r="L76" s="294">
        <f>IF(OR(J76&gt;0,K76&gt;0,M76&gt;0),0,IF(VLOOKUP(A76,'Low Discharge'!A:C,3,FALSE)&lt;=L$3,L$1*C76,IF(VLOOKUP(A76,'Low Discharge'!A:C,3,FALSE)&gt;=L$2,0,(VLOOKUP(A76,'Low Discharge'!A:C,3,FALSE)-L$2)/(L$3-L$2)*L$1*C76)))</f>
        <v>0</v>
      </c>
      <c r="M76" s="170">
        <f>IF(VLOOKUP($A76,Characteristics!$A:$E,3,FALSE)=2,M$1*C76,0)</f>
        <v>0</v>
      </c>
      <c r="N76" s="170">
        <f>IF(VLOOKUP($A76,Characteristics!$A:$E,5,FALSE)&gt;=N$2,N$1*C76,IF(VLOOKUP($A76,Characteristics!$A:$E,5,FALSE)&lt;=N$3,0,(VLOOKUP($A76,Characteristics!$A:$E,5,FALSE)-N$3)/(N$2-N$3)*N$1*C76))</f>
        <v>0</v>
      </c>
      <c r="O76" s="170">
        <f>IF(VLOOKUP($A76,Characteristics!$A:$F,6,FALSE)&lt;=O$3,O$1*C76,IF(VLOOKUP($A76,Characteristics!$A:$F,6,FALSE)&gt;=O$2,0,(VLOOKUP($A76,Characteristics!$A:$F,6,FALSE)-O$2)/(O$3-O$2)*O$1*C76))</f>
        <v>0</v>
      </c>
      <c r="P76" s="175">
        <f t="shared" si="94"/>
        <v>8242.7999999999993</v>
      </c>
      <c r="Q76" s="175"/>
      <c r="R76" s="85">
        <v>6827.52</v>
      </c>
      <c r="S76" s="86">
        <f t="shared" si="130"/>
        <v>6998.2079999999996</v>
      </c>
      <c r="T76" s="85">
        <f t="shared" si="95"/>
        <v>113961.4434</v>
      </c>
      <c r="U76" s="305">
        <v>30</v>
      </c>
      <c r="V76" s="89">
        <v>0.54281250000000003</v>
      </c>
      <c r="W76" s="90">
        <f t="shared" si="96"/>
        <v>134228.84625</v>
      </c>
      <c r="X76" s="98" t="s">
        <v>5</v>
      </c>
      <c r="Y76" s="85">
        <f t="shared" si="131"/>
        <v>6998.2079999999996</v>
      </c>
      <c r="Z76" s="85">
        <f t="shared" si="132"/>
        <v>6298.3872000000001</v>
      </c>
      <c r="AA76" s="85">
        <f t="shared" si="133"/>
        <v>7698.0288</v>
      </c>
      <c r="AB76" s="230"/>
      <c r="AC76" s="101"/>
      <c r="AD76" s="85">
        <f t="shared" si="134"/>
        <v>6872.3004009101596</v>
      </c>
      <c r="AE76" s="85">
        <f t="shared" si="97"/>
        <v>111911.11684107139</v>
      </c>
      <c r="AF76" s="92">
        <f t="shared" si="135"/>
        <v>0</v>
      </c>
      <c r="AG76" s="92">
        <f t="shared" si="136"/>
        <v>0</v>
      </c>
      <c r="AH76" s="85">
        <f t="shared" si="137"/>
        <v>6872.3004009101596</v>
      </c>
      <c r="AI76" s="85">
        <f t="shared" si="98"/>
        <v>111911.11684107139</v>
      </c>
      <c r="AJ76" s="93">
        <f t="shared" si="99"/>
        <v>134228.84625</v>
      </c>
      <c r="AK76" s="93">
        <f t="shared" si="100"/>
        <v>113961.4434</v>
      </c>
      <c r="AL76" s="94">
        <f t="shared" si="138"/>
        <v>0</v>
      </c>
      <c r="AM76" s="95"/>
      <c r="AN76" s="85">
        <f t="shared" si="139"/>
        <v>6851.2717528706553</v>
      </c>
      <c r="AO76" s="85">
        <f t="shared" si="101"/>
        <v>111568.67845065308</v>
      </c>
      <c r="AP76" s="92">
        <f t="shared" si="140"/>
        <v>0</v>
      </c>
      <c r="AQ76" s="92">
        <f t="shared" si="141"/>
        <v>0</v>
      </c>
      <c r="AR76" s="85">
        <f t="shared" si="142"/>
        <v>6851.2717528706553</v>
      </c>
      <c r="AS76" s="85">
        <f t="shared" si="102"/>
        <v>111568.67845065308</v>
      </c>
      <c r="AT76" s="93">
        <f t="shared" si="103"/>
        <v>134228.84625</v>
      </c>
      <c r="AU76" s="93">
        <f t="shared" si="104"/>
        <v>113961.4434</v>
      </c>
      <c r="AV76" s="94">
        <f t="shared" si="105"/>
        <v>0</v>
      </c>
      <c r="AW76" s="92">
        <f t="shared" si="164"/>
        <v>0</v>
      </c>
      <c r="AX76" s="95"/>
      <c r="AY76" s="85">
        <f t="shared" si="143"/>
        <v>6863.3098505384096</v>
      </c>
      <c r="AZ76" s="85">
        <f t="shared" si="106"/>
        <v>111764.71134736142</v>
      </c>
      <c r="BA76" s="92">
        <f t="shared" si="144"/>
        <v>0</v>
      </c>
      <c r="BB76" s="92">
        <f t="shared" si="145"/>
        <v>0</v>
      </c>
      <c r="BC76" s="85">
        <f t="shared" si="146"/>
        <v>6863.3098505384096</v>
      </c>
      <c r="BD76" s="85">
        <f t="shared" si="107"/>
        <v>111764.71134736142</v>
      </c>
      <c r="BE76" s="93">
        <f t="shared" si="108"/>
        <v>134228.84625</v>
      </c>
      <c r="BF76" s="93">
        <f t="shared" si="109"/>
        <v>113961.4434</v>
      </c>
      <c r="BG76" s="94">
        <f t="shared" si="110"/>
        <v>0</v>
      </c>
      <c r="BH76" s="92">
        <f t="shared" si="111"/>
        <v>0</v>
      </c>
      <c r="BI76" s="95"/>
      <c r="BJ76" s="85">
        <f t="shared" si="147"/>
        <v>6863.3098505384096</v>
      </c>
      <c r="BK76" s="85">
        <f t="shared" si="112"/>
        <v>111764.71134736142</v>
      </c>
      <c r="BL76" s="92">
        <f t="shared" si="148"/>
        <v>0</v>
      </c>
      <c r="BM76" s="92">
        <f t="shared" si="149"/>
        <v>0</v>
      </c>
      <c r="BN76" s="85">
        <f t="shared" si="150"/>
        <v>6863.3098505384096</v>
      </c>
      <c r="BO76" s="85">
        <f t="shared" si="113"/>
        <v>111764.71134736142</v>
      </c>
      <c r="BP76" s="93">
        <f t="shared" si="114"/>
        <v>134228.84625</v>
      </c>
      <c r="BQ76" s="93">
        <f t="shared" si="115"/>
        <v>113961.4434</v>
      </c>
      <c r="BR76" s="94">
        <f t="shared" si="116"/>
        <v>0</v>
      </c>
      <c r="BS76" s="92">
        <f t="shared" si="117"/>
        <v>0</v>
      </c>
      <c r="BT76" s="95"/>
      <c r="BU76" s="85">
        <f t="shared" si="151"/>
        <v>6863.3098505384096</v>
      </c>
      <c r="BV76" s="85">
        <f t="shared" si="118"/>
        <v>111764.71134736142</v>
      </c>
      <c r="BW76" s="92">
        <f t="shared" si="152"/>
        <v>0</v>
      </c>
      <c r="BX76" s="92">
        <f t="shared" si="153"/>
        <v>0</v>
      </c>
      <c r="BY76" s="85">
        <f t="shared" si="154"/>
        <v>6863.3098505384096</v>
      </c>
      <c r="BZ76" s="85">
        <f t="shared" si="119"/>
        <v>111764.71134736142</v>
      </c>
      <c r="CA76" s="96">
        <f t="shared" si="120"/>
        <v>134228.84625</v>
      </c>
      <c r="CB76" s="96">
        <f t="shared" si="121"/>
        <v>113961.4434</v>
      </c>
      <c r="CC76" s="94">
        <f t="shared" si="122"/>
        <v>0</v>
      </c>
      <c r="CD76" s="92">
        <f t="shared" si="123"/>
        <v>0</v>
      </c>
      <c r="CE76" s="66"/>
      <c r="CF76" s="85">
        <f t="shared" si="124"/>
        <v>6863.3098505384096</v>
      </c>
      <c r="CG76" s="85">
        <f t="shared" si="125"/>
        <v>111764.71134736142</v>
      </c>
      <c r="CH76" s="92">
        <f t="shared" si="155"/>
        <v>0</v>
      </c>
      <c r="CI76" s="92">
        <f t="shared" si="156"/>
        <v>0</v>
      </c>
      <c r="CJ76" s="85">
        <f t="shared" si="157"/>
        <v>6863.3098505384096</v>
      </c>
      <c r="CK76" s="85">
        <f t="shared" si="126"/>
        <v>111764.71134736142</v>
      </c>
      <c r="CL76" s="97">
        <f t="shared" si="127"/>
        <v>0.9807239011098855</v>
      </c>
      <c r="CM76" s="261"/>
      <c r="CN76" s="295">
        <f t="shared" si="158"/>
        <v>7000.58</v>
      </c>
      <c r="CP76" s="85">
        <f t="shared" si="159"/>
        <v>7000.58</v>
      </c>
      <c r="CQ76" s="85">
        <f t="shared" si="160"/>
        <v>6300.5219999999999</v>
      </c>
      <c r="CR76" s="85">
        <f t="shared" si="161"/>
        <v>7700.6380000000008</v>
      </c>
      <c r="CS76" s="295">
        <f t="shared" si="162"/>
        <v>7000.5760475491779</v>
      </c>
      <c r="CT76" s="295">
        <f t="shared" si="163"/>
        <v>7000.5760475491779</v>
      </c>
      <c r="CU76" s="303"/>
      <c r="CV76" s="303"/>
    </row>
    <row r="77" spans="1:100" s="153" customFormat="1" ht="15" customHeight="1" x14ac:dyDescent="0.3">
      <c r="A77" s="174">
        <v>61321</v>
      </c>
      <c r="B77" s="176" t="s">
        <v>273</v>
      </c>
      <c r="C77" s="175">
        <f>VLOOKUP($A77,'Fed Bs Rt+IME+GME+VBP+RAA+HAC'!$B$5:$AC$88,15,FALSE)</f>
        <v>6594.24</v>
      </c>
      <c r="D77" s="175">
        <f>VLOOKUP($A77,'Fed Bs Rt+IME+GME+VBP+RAA+HAC'!$B$5:$AC$88,21,FALSE)</f>
        <v>0</v>
      </c>
      <c r="E77" s="175">
        <f>VLOOKUP($A77,'Fed Bs Rt+IME+GME+VBP+RAA+HAC'!$B$5:$AC$88,25,FALSE)</f>
        <v>0</v>
      </c>
      <c r="F77" s="175">
        <f>VLOOKUP($A77,'Fed Bs Rt+IME+GME+VBP+RAA+HAC'!$B$5:$AC$88,23,FALSE)</f>
        <v>0</v>
      </c>
      <c r="G77" s="175">
        <f>VLOOKUP($A77,'Fed Bs Rt+IME+GME+VBP+RAA+HAC'!$B$5:$AC$88,28,FALSE)</f>
        <v>0</v>
      </c>
      <c r="H77" s="175">
        <f t="shared" si="128"/>
        <v>0</v>
      </c>
      <c r="I77" s="175">
        <f>VLOOKUP($A77,'Fed Bs Rt+IME+GME+VBP+RAA+HAC'!$B$5:$AC$88,16,FALSE)</f>
        <v>0</v>
      </c>
      <c r="J77" s="175">
        <f t="shared" si="129"/>
        <v>1648.56</v>
      </c>
      <c r="K77" s="175">
        <f t="shared" si="93"/>
        <v>0</v>
      </c>
      <c r="L77" s="294">
        <f>IF(OR(J77&gt;0,K77&gt;0,M77&gt;0),0,IF(VLOOKUP(A77,'Low Discharge'!A:C,3,FALSE)&lt;=L$3,L$1*C77,IF(VLOOKUP(A77,'Low Discharge'!A:C,3,FALSE)&gt;=L$2,0,(VLOOKUP(A77,'Low Discharge'!A:C,3,FALSE)-L$2)/(L$3-L$2)*L$1*C77)))</f>
        <v>0</v>
      </c>
      <c r="M77" s="170">
        <f>IF(VLOOKUP($A77,Characteristics!$A:$E,3,FALSE)=2,M$1*C77,0)</f>
        <v>0</v>
      </c>
      <c r="N77" s="170">
        <f>IF(VLOOKUP($A77,Characteristics!$A:$E,5,FALSE)&gt;=N$2,N$1*C77,IF(VLOOKUP($A77,Characteristics!$A:$E,5,FALSE)&lt;=N$3,0,(VLOOKUP($A77,Characteristics!$A:$E,5,FALSE)-N$3)/(N$2-N$3)*N$1*C77))</f>
        <v>0</v>
      </c>
      <c r="O77" s="170">
        <f>IF(VLOOKUP($A77,Characteristics!$A:$F,6,FALSE)&lt;=O$3,O$1*C77,IF(VLOOKUP($A77,Characteristics!$A:$F,6,FALSE)&gt;=O$2,0,(VLOOKUP($A77,Characteristics!$A:$F,6,FALSE)-O$2)/(O$3-O$2)*O$1*C77))</f>
        <v>0</v>
      </c>
      <c r="P77" s="175">
        <f t="shared" si="94"/>
        <v>8242.7999999999993</v>
      </c>
      <c r="Q77" s="175"/>
      <c r="R77" s="85">
        <v>6736.64</v>
      </c>
      <c r="S77" s="86">
        <f t="shared" si="130"/>
        <v>6905.0559999999996</v>
      </c>
      <c r="T77" s="85">
        <f t="shared" si="95"/>
        <v>477645.96455748484</v>
      </c>
      <c r="U77" s="88">
        <v>68.485200000000006</v>
      </c>
      <c r="V77" s="89">
        <v>1.0100483870967742</v>
      </c>
      <c r="W77" s="90">
        <f t="shared" si="96"/>
        <v>570182.21961624012</v>
      </c>
      <c r="X77" s="98" t="s">
        <v>5</v>
      </c>
      <c r="Y77" s="85">
        <f t="shared" si="131"/>
        <v>6905.0559999999996</v>
      </c>
      <c r="Z77" s="85">
        <f t="shared" si="132"/>
        <v>6214.5504000000001</v>
      </c>
      <c r="AA77" s="85">
        <f t="shared" si="133"/>
        <v>7595.5616</v>
      </c>
      <c r="AB77" s="230"/>
      <c r="AC77" s="101"/>
      <c r="AD77" s="85">
        <f t="shared" si="134"/>
        <v>6872.3004009101596</v>
      </c>
      <c r="AE77" s="85">
        <f t="shared" si="97"/>
        <v>475380.1495196452</v>
      </c>
      <c r="AF77" s="92">
        <f t="shared" si="135"/>
        <v>0</v>
      </c>
      <c r="AG77" s="92">
        <f t="shared" si="136"/>
        <v>0</v>
      </c>
      <c r="AH77" s="85">
        <f t="shared" si="137"/>
        <v>6872.3004009101596</v>
      </c>
      <c r="AI77" s="85">
        <f t="shared" si="98"/>
        <v>475380.1495196452</v>
      </c>
      <c r="AJ77" s="93">
        <f t="shared" si="99"/>
        <v>570182.21961624012</v>
      </c>
      <c r="AK77" s="93">
        <f t="shared" si="100"/>
        <v>477645.96455748484</v>
      </c>
      <c r="AL77" s="94">
        <f t="shared" si="138"/>
        <v>0</v>
      </c>
      <c r="AM77" s="95"/>
      <c r="AN77" s="85">
        <f t="shared" si="139"/>
        <v>6851.2717528706553</v>
      </c>
      <c r="AO77" s="85">
        <f t="shared" si="101"/>
        <v>473925.52715652908</v>
      </c>
      <c r="AP77" s="92">
        <f t="shared" si="140"/>
        <v>0</v>
      </c>
      <c r="AQ77" s="92">
        <f t="shared" si="141"/>
        <v>0</v>
      </c>
      <c r="AR77" s="85">
        <f t="shared" si="142"/>
        <v>6851.2717528706553</v>
      </c>
      <c r="AS77" s="85">
        <f t="shared" si="102"/>
        <v>473925.52715652908</v>
      </c>
      <c r="AT77" s="93">
        <f t="shared" si="103"/>
        <v>570182.21961624012</v>
      </c>
      <c r="AU77" s="93">
        <f t="shared" si="104"/>
        <v>477645.96455748484</v>
      </c>
      <c r="AV77" s="94">
        <f t="shared" si="105"/>
        <v>0</v>
      </c>
      <c r="AW77" s="92">
        <f t="shared" si="164"/>
        <v>0</v>
      </c>
      <c r="AX77" s="95"/>
      <c r="AY77" s="85">
        <f t="shared" si="143"/>
        <v>6863.3098505384096</v>
      </c>
      <c r="AZ77" s="85">
        <f t="shared" si="106"/>
        <v>474758.24289003678</v>
      </c>
      <c r="BA77" s="92">
        <f t="shared" si="144"/>
        <v>0</v>
      </c>
      <c r="BB77" s="92">
        <f t="shared" si="145"/>
        <v>0</v>
      </c>
      <c r="BC77" s="85">
        <f t="shared" si="146"/>
        <v>6863.3098505384096</v>
      </c>
      <c r="BD77" s="85">
        <f t="shared" si="107"/>
        <v>474758.24289003678</v>
      </c>
      <c r="BE77" s="93">
        <f t="shared" si="108"/>
        <v>570182.21961624012</v>
      </c>
      <c r="BF77" s="93">
        <f t="shared" si="109"/>
        <v>477645.96455748484</v>
      </c>
      <c r="BG77" s="94">
        <f t="shared" si="110"/>
        <v>0</v>
      </c>
      <c r="BH77" s="92">
        <f t="shared" si="111"/>
        <v>0</v>
      </c>
      <c r="BI77" s="95"/>
      <c r="BJ77" s="85">
        <f t="shared" si="147"/>
        <v>6863.3098505384096</v>
      </c>
      <c r="BK77" s="85">
        <f t="shared" si="112"/>
        <v>474758.24289003678</v>
      </c>
      <c r="BL77" s="92">
        <f t="shared" si="148"/>
        <v>0</v>
      </c>
      <c r="BM77" s="92">
        <f t="shared" si="149"/>
        <v>0</v>
      </c>
      <c r="BN77" s="85">
        <f t="shared" si="150"/>
        <v>6863.3098505384096</v>
      </c>
      <c r="BO77" s="85">
        <f t="shared" si="113"/>
        <v>474758.24289003678</v>
      </c>
      <c r="BP77" s="93">
        <f t="shared" si="114"/>
        <v>570182.21961624012</v>
      </c>
      <c r="BQ77" s="93">
        <f t="shared" si="115"/>
        <v>477645.96455748484</v>
      </c>
      <c r="BR77" s="94">
        <f t="shared" si="116"/>
        <v>0</v>
      </c>
      <c r="BS77" s="92">
        <f t="shared" si="117"/>
        <v>0</v>
      </c>
      <c r="BT77" s="95"/>
      <c r="BU77" s="85">
        <f t="shared" si="151"/>
        <v>6863.3098505384096</v>
      </c>
      <c r="BV77" s="85">
        <f t="shared" si="118"/>
        <v>474758.24289003678</v>
      </c>
      <c r="BW77" s="92">
        <f t="shared" si="152"/>
        <v>0</v>
      </c>
      <c r="BX77" s="92">
        <f t="shared" si="153"/>
        <v>0</v>
      </c>
      <c r="BY77" s="85">
        <f t="shared" si="154"/>
        <v>6863.3098505384096</v>
      </c>
      <c r="BZ77" s="85">
        <f t="shared" si="119"/>
        <v>474758.24289003678</v>
      </c>
      <c r="CA77" s="96">
        <f t="shared" si="120"/>
        <v>570182.21961624012</v>
      </c>
      <c r="CB77" s="96">
        <f t="shared" si="121"/>
        <v>477645.96455748484</v>
      </c>
      <c r="CC77" s="94">
        <f t="shared" si="122"/>
        <v>0</v>
      </c>
      <c r="CD77" s="92">
        <f t="shared" si="123"/>
        <v>0</v>
      </c>
      <c r="CE77" s="66"/>
      <c r="CF77" s="85">
        <f t="shared" si="124"/>
        <v>6863.3098505384096</v>
      </c>
      <c r="CG77" s="85">
        <f t="shared" si="125"/>
        <v>474758.24289003678</v>
      </c>
      <c r="CH77" s="92">
        <f t="shared" si="155"/>
        <v>0</v>
      </c>
      <c r="CI77" s="92">
        <f t="shared" si="156"/>
        <v>0</v>
      </c>
      <c r="CJ77" s="85">
        <f t="shared" si="157"/>
        <v>6863.3098505384096</v>
      </c>
      <c r="CK77" s="85">
        <f t="shared" si="126"/>
        <v>474758.24289003678</v>
      </c>
      <c r="CL77" s="97">
        <f t="shared" si="127"/>
        <v>0.99395426344672799</v>
      </c>
      <c r="CM77" s="261"/>
      <c r="CN77" s="295">
        <f t="shared" si="158"/>
        <v>7000.58</v>
      </c>
      <c r="CP77" s="85">
        <f t="shared" si="159"/>
        <v>7000.58</v>
      </c>
      <c r="CQ77" s="85">
        <f t="shared" si="160"/>
        <v>6300.5219999999999</v>
      </c>
      <c r="CR77" s="85">
        <f t="shared" si="161"/>
        <v>7700.6380000000008</v>
      </c>
      <c r="CS77" s="295">
        <f t="shared" si="162"/>
        <v>7000.5760475491779</v>
      </c>
      <c r="CT77" s="295">
        <f t="shared" si="163"/>
        <v>7000.5760475491779</v>
      </c>
      <c r="CU77" s="303"/>
      <c r="CV77" s="303"/>
    </row>
    <row r="78" spans="1:100" s="153" customFormat="1" ht="15" customHeight="1" x14ac:dyDescent="0.3">
      <c r="A78" s="174">
        <v>61322</v>
      </c>
      <c r="B78" s="176" t="s">
        <v>273</v>
      </c>
      <c r="C78" s="175">
        <f>VLOOKUP($A78,'Fed Bs Rt+IME+GME+VBP+RAA+HAC'!$B$5:$AC$88,15,FALSE)</f>
        <v>6594.24</v>
      </c>
      <c r="D78" s="175">
        <f>VLOOKUP($A78,'Fed Bs Rt+IME+GME+VBP+RAA+HAC'!$B$5:$AC$88,21,FALSE)</f>
        <v>0</v>
      </c>
      <c r="E78" s="175">
        <f>VLOOKUP($A78,'Fed Bs Rt+IME+GME+VBP+RAA+HAC'!$B$5:$AC$88,25,FALSE)</f>
        <v>0</v>
      </c>
      <c r="F78" s="175">
        <f>VLOOKUP($A78,'Fed Bs Rt+IME+GME+VBP+RAA+HAC'!$B$5:$AC$88,23,FALSE)</f>
        <v>0</v>
      </c>
      <c r="G78" s="175">
        <f>VLOOKUP($A78,'Fed Bs Rt+IME+GME+VBP+RAA+HAC'!$B$5:$AC$88,28,FALSE)</f>
        <v>0</v>
      </c>
      <c r="H78" s="175">
        <f t="shared" si="128"/>
        <v>0</v>
      </c>
      <c r="I78" s="175">
        <f>VLOOKUP($A78,'Fed Bs Rt+IME+GME+VBP+RAA+HAC'!$B$5:$AC$88,16,FALSE)</f>
        <v>0</v>
      </c>
      <c r="J78" s="175">
        <f t="shared" si="129"/>
        <v>1648.56</v>
      </c>
      <c r="K78" s="175">
        <f t="shared" si="93"/>
        <v>0</v>
      </c>
      <c r="L78" s="294">
        <f>IF(OR(J78&gt;0,K78&gt;0,M78&gt;0),0,IF(VLOOKUP(A78,'Low Discharge'!A:C,3,FALSE)&lt;=L$3,L$1*C78,IF(VLOOKUP(A78,'Low Discharge'!A:C,3,FALSE)&gt;=L$2,0,(VLOOKUP(A78,'Low Discharge'!A:C,3,FALSE)-L$2)/(L$3-L$2)*L$1*C78)))</f>
        <v>0</v>
      </c>
      <c r="M78" s="170">
        <f>IF(VLOOKUP($A78,Characteristics!$A:$E,3,FALSE)=2,M$1*C78,0)</f>
        <v>0</v>
      </c>
      <c r="N78" s="170">
        <f>IF(VLOOKUP($A78,Characteristics!$A:$E,5,FALSE)&gt;=N$2,N$1*C78,IF(VLOOKUP($A78,Characteristics!$A:$E,5,FALSE)&lt;=N$3,0,(VLOOKUP($A78,Characteristics!$A:$E,5,FALSE)-N$3)/(N$2-N$3)*N$1*C78))</f>
        <v>0</v>
      </c>
      <c r="O78" s="170">
        <f>IF(VLOOKUP($A78,Characteristics!$A:$F,6,FALSE)&lt;=O$3,O$1*C78,IF(VLOOKUP($A78,Characteristics!$A:$F,6,FALSE)&gt;=O$2,0,(VLOOKUP($A78,Characteristics!$A:$F,6,FALSE)-O$2)/(O$3-O$2)*O$1*C78))</f>
        <v>0</v>
      </c>
      <c r="P78" s="175">
        <f t="shared" si="94"/>
        <v>8242.7999999999993</v>
      </c>
      <c r="Q78" s="175"/>
      <c r="R78" s="85">
        <v>6870.15</v>
      </c>
      <c r="S78" s="86">
        <f t="shared" si="130"/>
        <v>7041.9037499999986</v>
      </c>
      <c r="T78" s="85">
        <f t="shared" si="95"/>
        <v>871703.91094622831</v>
      </c>
      <c r="U78" s="88">
        <v>151.33019999999999</v>
      </c>
      <c r="V78" s="89">
        <v>0.81800000000000006</v>
      </c>
      <c r="W78" s="90">
        <f t="shared" si="96"/>
        <v>1020360.5803540798</v>
      </c>
      <c r="X78" s="98" t="s">
        <v>5</v>
      </c>
      <c r="Y78" s="85">
        <f t="shared" si="131"/>
        <v>7041.9037499999986</v>
      </c>
      <c r="Z78" s="85">
        <f t="shared" si="132"/>
        <v>6337.7133749999985</v>
      </c>
      <c r="AA78" s="85">
        <f t="shared" si="133"/>
        <v>7746.0941249999987</v>
      </c>
      <c r="AB78" s="230"/>
      <c r="AC78" s="101"/>
      <c r="AD78" s="85">
        <f t="shared" si="134"/>
        <v>6872.3004009101596</v>
      </c>
      <c r="AE78" s="85">
        <f t="shared" si="97"/>
        <v>850709.03399818833</v>
      </c>
      <c r="AF78" s="92">
        <f t="shared" si="135"/>
        <v>0</v>
      </c>
      <c r="AG78" s="92">
        <f t="shared" si="136"/>
        <v>0</v>
      </c>
      <c r="AH78" s="85">
        <f t="shared" si="137"/>
        <v>6872.3004009101596</v>
      </c>
      <c r="AI78" s="85">
        <f t="shared" si="98"/>
        <v>850709.03399818833</v>
      </c>
      <c r="AJ78" s="93">
        <f t="shared" si="99"/>
        <v>1020360.5803540798</v>
      </c>
      <c r="AK78" s="93">
        <f t="shared" si="100"/>
        <v>871703.91094622831</v>
      </c>
      <c r="AL78" s="94">
        <f t="shared" si="138"/>
        <v>0</v>
      </c>
      <c r="AM78" s="95"/>
      <c r="AN78" s="85">
        <f t="shared" si="139"/>
        <v>6851.2717528706553</v>
      </c>
      <c r="AO78" s="85">
        <f t="shared" si="101"/>
        <v>848105.93753610633</v>
      </c>
      <c r="AP78" s="92">
        <f t="shared" si="140"/>
        <v>0</v>
      </c>
      <c r="AQ78" s="92">
        <f t="shared" si="141"/>
        <v>0</v>
      </c>
      <c r="AR78" s="85">
        <f t="shared" si="142"/>
        <v>6851.2717528706553</v>
      </c>
      <c r="AS78" s="85">
        <f t="shared" si="102"/>
        <v>848105.93753610633</v>
      </c>
      <c r="AT78" s="93">
        <f t="shared" si="103"/>
        <v>1020360.5803540798</v>
      </c>
      <c r="AU78" s="93">
        <f t="shared" si="104"/>
        <v>871703.91094622831</v>
      </c>
      <c r="AV78" s="94">
        <f t="shared" si="105"/>
        <v>0</v>
      </c>
      <c r="AW78" s="92">
        <f t="shared" si="164"/>
        <v>0</v>
      </c>
      <c r="AX78" s="95"/>
      <c r="AY78" s="85">
        <f t="shared" si="143"/>
        <v>6863.3098505384096</v>
      </c>
      <c r="AZ78" s="85">
        <f t="shared" si="106"/>
        <v>849596.11081734917</v>
      </c>
      <c r="BA78" s="92">
        <f t="shared" si="144"/>
        <v>0</v>
      </c>
      <c r="BB78" s="92">
        <f t="shared" si="145"/>
        <v>0</v>
      </c>
      <c r="BC78" s="85">
        <f t="shared" si="146"/>
        <v>6863.3098505384096</v>
      </c>
      <c r="BD78" s="85">
        <f t="shared" si="107"/>
        <v>849596.11081734917</v>
      </c>
      <c r="BE78" s="93">
        <f t="shared" si="108"/>
        <v>1020360.5803540798</v>
      </c>
      <c r="BF78" s="93">
        <f t="shared" si="109"/>
        <v>871703.91094622831</v>
      </c>
      <c r="BG78" s="94">
        <f t="shared" si="110"/>
        <v>0</v>
      </c>
      <c r="BH78" s="92">
        <f t="shared" si="111"/>
        <v>0</v>
      </c>
      <c r="BI78" s="95"/>
      <c r="BJ78" s="85">
        <f t="shared" si="147"/>
        <v>6863.3098505384096</v>
      </c>
      <c r="BK78" s="85">
        <f t="shared" si="112"/>
        <v>849596.11081734917</v>
      </c>
      <c r="BL78" s="92">
        <f t="shared" si="148"/>
        <v>0</v>
      </c>
      <c r="BM78" s="92">
        <f t="shared" si="149"/>
        <v>0</v>
      </c>
      <c r="BN78" s="85">
        <f t="shared" si="150"/>
        <v>6863.3098505384096</v>
      </c>
      <c r="BO78" s="85">
        <f t="shared" si="113"/>
        <v>849596.11081734917</v>
      </c>
      <c r="BP78" s="93">
        <f t="shared" si="114"/>
        <v>1020360.5803540798</v>
      </c>
      <c r="BQ78" s="93">
        <f t="shared" si="115"/>
        <v>871703.91094622831</v>
      </c>
      <c r="BR78" s="94">
        <f t="shared" si="116"/>
        <v>0</v>
      </c>
      <c r="BS78" s="92">
        <f t="shared" si="117"/>
        <v>0</v>
      </c>
      <c r="BT78" s="95"/>
      <c r="BU78" s="85">
        <f t="shared" si="151"/>
        <v>6863.3098505384096</v>
      </c>
      <c r="BV78" s="85">
        <f t="shared" si="118"/>
        <v>849596.11081734917</v>
      </c>
      <c r="BW78" s="92">
        <f t="shared" si="152"/>
        <v>0</v>
      </c>
      <c r="BX78" s="92">
        <f t="shared" si="153"/>
        <v>0</v>
      </c>
      <c r="BY78" s="85">
        <f t="shared" si="154"/>
        <v>6863.3098505384096</v>
      </c>
      <c r="BZ78" s="85">
        <f t="shared" si="119"/>
        <v>849596.11081734917</v>
      </c>
      <c r="CA78" s="96">
        <f t="shared" si="120"/>
        <v>1020360.5803540798</v>
      </c>
      <c r="CB78" s="96">
        <f t="shared" si="121"/>
        <v>871703.91094622831</v>
      </c>
      <c r="CC78" s="94">
        <f t="shared" si="122"/>
        <v>0</v>
      </c>
      <c r="CD78" s="92">
        <f t="shared" si="123"/>
        <v>0</v>
      </c>
      <c r="CE78" s="66"/>
      <c r="CF78" s="85">
        <f t="shared" si="124"/>
        <v>6863.3098505384096</v>
      </c>
      <c r="CG78" s="85">
        <f t="shared" si="125"/>
        <v>849596.11081734917</v>
      </c>
      <c r="CH78" s="92">
        <f t="shared" si="155"/>
        <v>0</v>
      </c>
      <c r="CI78" s="92">
        <f t="shared" si="156"/>
        <v>0</v>
      </c>
      <c r="CJ78" s="85">
        <f t="shared" si="157"/>
        <v>6863.3098505384096</v>
      </c>
      <c r="CK78" s="85">
        <f t="shared" si="126"/>
        <v>849596.11081734917</v>
      </c>
      <c r="CL78" s="97">
        <f t="shared" si="127"/>
        <v>0.97463840662951562</v>
      </c>
      <c r="CM78" s="261"/>
      <c r="CN78" s="295">
        <f t="shared" si="158"/>
        <v>7000.58</v>
      </c>
      <c r="CP78" s="85">
        <f t="shared" si="159"/>
        <v>7000.58</v>
      </c>
      <c r="CQ78" s="85">
        <f t="shared" si="160"/>
        <v>6300.5219999999999</v>
      </c>
      <c r="CR78" s="85">
        <f t="shared" si="161"/>
        <v>7700.6380000000008</v>
      </c>
      <c r="CS78" s="295">
        <f t="shared" si="162"/>
        <v>7000.5760475491779</v>
      </c>
      <c r="CT78" s="295">
        <f t="shared" si="163"/>
        <v>7000.5760475491779</v>
      </c>
      <c r="CU78" s="303"/>
      <c r="CV78" s="303"/>
    </row>
    <row r="79" spans="1:100" s="153" customFormat="1" ht="15" customHeight="1" x14ac:dyDescent="0.3">
      <c r="A79" s="174">
        <v>61323</v>
      </c>
      <c r="B79" s="176" t="s">
        <v>273</v>
      </c>
      <c r="C79" s="175">
        <f>VLOOKUP($A79,'Fed Bs Rt+IME+GME+VBP+RAA+HAC'!$B$5:$AC$88,15,FALSE)</f>
        <v>6594.24</v>
      </c>
      <c r="D79" s="175">
        <f>VLOOKUP($A79,'Fed Bs Rt+IME+GME+VBP+RAA+HAC'!$B$5:$AC$88,21,FALSE)</f>
        <v>0</v>
      </c>
      <c r="E79" s="175">
        <f>VLOOKUP($A79,'Fed Bs Rt+IME+GME+VBP+RAA+HAC'!$B$5:$AC$88,25,FALSE)</f>
        <v>0</v>
      </c>
      <c r="F79" s="175">
        <f>VLOOKUP($A79,'Fed Bs Rt+IME+GME+VBP+RAA+HAC'!$B$5:$AC$88,23,FALSE)</f>
        <v>0</v>
      </c>
      <c r="G79" s="175">
        <f>VLOOKUP($A79,'Fed Bs Rt+IME+GME+VBP+RAA+HAC'!$B$5:$AC$88,28,FALSE)</f>
        <v>0</v>
      </c>
      <c r="H79" s="175">
        <f t="shared" si="128"/>
        <v>0</v>
      </c>
      <c r="I79" s="175">
        <f>VLOOKUP($A79,'Fed Bs Rt+IME+GME+VBP+RAA+HAC'!$B$5:$AC$88,16,FALSE)</f>
        <v>0</v>
      </c>
      <c r="J79" s="175">
        <f t="shared" si="129"/>
        <v>1648.56</v>
      </c>
      <c r="K79" s="175">
        <f t="shared" si="93"/>
        <v>0</v>
      </c>
      <c r="L79" s="294">
        <f>IF(OR(J79&gt;0,K79&gt;0,M79&gt;0),0,IF(VLOOKUP(A79,'Low Discharge'!A:C,3,FALSE)&lt;=L$3,L$1*C79,IF(VLOOKUP(A79,'Low Discharge'!A:C,3,FALSE)&gt;=L$2,0,(VLOOKUP(A79,'Low Discharge'!A:C,3,FALSE)-L$2)/(L$3-L$2)*L$1*C79)))</f>
        <v>0</v>
      </c>
      <c r="M79" s="170">
        <f>IF(VLOOKUP($A79,Characteristics!$A:$E,3,FALSE)=2,M$1*C79,0)</f>
        <v>0</v>
      </c>
      <c r="N79" s="170">
        <f>IF(VLOOKUP($A79,Characteristics!$A:$E,5,FALSE)&gt;=N$2,N$1*C79,IF(VLOOKUP($A79,Characteristics!$A:$E,5,FALSE)&lt;=N$3,0,(VLOOKUP($A79,Characteristics!$A:$E,5,FALSE)-N$3)/(N$2-N$3)*N$1*C79))</f>
        <v>0</v>
      </c>
      <c r="O79" s="170">
        <f>IF(VLOOKUP($A79,Characteristics!$A:$F,6,FALSE)&lt;=O$3,O$1*C79,IF(VLOOKUP($A79,Characteristics!$A:$F,6,FALSE)&gt;=O$2,0,(VLOOKUP($A79,Characteristics!$A:$F,6,FALSE)-O$2)/(O$3-O$2)*O$1*C79))</f>
        <v>440.21279939687582</v>
      </c>
      <c r="P79" s="175">
        <f t="shared" si="94"/>
        <v>8683.0127993968745</v>
      </c>
      <c r="Q79" s="175"/>
      <c r="R79" s="85">
        <v>6778.37</v>
      </c>
      <c r="S79" s="86">
        <f t="shared" si="130"/>
        <v>6947.8292499999989</v>
      </c>
      <c r="T79" s="85">
        <f t="shared" si="95"/>
        <v>488645.38350918109</v>
      </c>
      <c r="U79" s="88">
        <v>112.6692</v>
      </c>
      <c r="V79" s="89">
        <v>0.62422254901960783</v>
      </c>
      <c r="W79" s="90">
        <f t="shared" si="96"/>
        <v>610681.97946522862</v>
      </c>
      <c r="X79" s="98" t="s">
        <v>5</v>
      </c>
      <c r="Y79" s="85">
        <f t="shared" si="131"/>
        <v>6947.8292499999989</v>
      </c>
      <c r="Z79" s="85">
        <f t="shared" si="132"/>
        <v>6253.0463249999993</v>
      </c>
      <c r="AA79" s="85">
        <f t="shared" si="133"/>
        <v>7642.6121749999993</v>
      </c>
      <c r="AB79" s="230"/>
      <c r="AC79" s="101"/>
      <c r="AD79" s="85">
        <f t="shared" si="134"/>
        <v>7239.3206607467355</v>
      </c>
      <c r="AE79" s="85">
        <f t="shared" si="97"/>
        <v>509146.16541800118</v>
      </c>
      <c r="AF79" s="92">
        <f t="shared" si="135"/>
        <v>0</v>
      </c>
      <c r="AG79" s="92">
        <f t="shared" si="136"/>
        <v>0</v>
      </c>
      <c r="AH79" s="85">
        <f t="shared" si="137"/>
        <v>7239.3206607467355</v>
      </c>
      <c r="AI79" s="85">
        <f t="shared" si="98"/>
        <v>509146.16541800118</v>
      </c>
      <c r="AJ79" s="93">
        <f t="shared" si="99"/>
        <v>610681.97946522862</v>
      </c>
      <c r="AK79" s="93">
        <f t="shared" si="100"/>
        <v>488645.38350918109</v>
      </c>
      <c r="AL79" s="94">
        <f t="shared" si="138"/>
        <v>0</v>
      </c>
      <c r="AM79" s="95"/>
      <c r="AN79" s="85">
        <f t="shared" si="139"/>
        <v>7217.1689622849235</v>
      </c>
      <c r="AO79" s="85">
        <f t="shared" si="101"/>
        <v>507588.2219509462</v>
      </c>
      <c r="AP79" s="92">
        <f t="shared" si="140"/>
        <v>0</v>
      </c>
      <c r="AQ79" s="92">
        <f t="shared" si="141"/>
        <v>0</v>
      </c>
      <c r="AR79" s="85">
        <f t="shared" si="142"/>
        <v>7217.1689622849235</v>
      </c>
      <c r="AS79" s="85">
        <f t="shared" si="102"/>
        <v>507588.2219509462</v>
      </c>
      <c r="AT79" s="93">
        <f t="shared" si="103"/>
        <v>610681.97946522862</v>
      </c>
      <c r="AU79" s="93">
        <f t="shared" si="104"/>
        <v>488645.38350918109</v>
      </c>
      <c r="AV79" s="94">
        <f t="shared" si="105"/>
        <v>0</v>
      </c>
      <c r="AW79" s="92">
        <f t="shared" si="164"/>
        <v>0</v>
      </c>
      <c r="AX79" s="95"/>
      <c r="AY79" s="85">
        <f t="shared" si="143"/>
        <v>7229.8499634167592</v>
      </c>
      <c r="AZ79" s="85">
        <f t="shared" si="106"/>
        <v>508480.08506939374</v>
      </c>
      <c r="BA79" s="92">
        <f t="shared" si="144"/>
        <v>0</v>
      </c>
      <c r="BB79" s="92">
        <f>IF(AY79&gt;=$AA79,1,0)</f>
        <v>0</v>
      </c>
      <c r="BC79" s="85">
        <f t="shared" si="146"/>
        <v>7229.8499634167592</v>
      </c>
      <c r="BD79" s="85">
        <f t="shared" si="107"/>
        <v>508480.08506939374</v>
      </c>
      <c r="BE79" s="93">
        <f t="shared" si="108"/>
        <v>610681.97946522862</v>
      </c>
      <c r="BF79" s="93">
        <f t="shared" si="109"/>
        <v>488645.38350918109</v>
      </c>
      <c r="BG79" s="94">
        <f t="shared" si="110"/>
        <v>0</v>
      </c>
      <c r="BH79" s="92">
        <f t="shared" si="111"/>
        <v>0</v>
      </c>
      <c r="BI79" s="95"/>
      <c r="BJ79" s="85">
        <f t="shared" si="147"/>
        <v>7229.8499634167592</v>
      </c>
      <c r="BK79" s="85">
        <f t="shared" si="112"/>
        <v>508480.08506939374</v>
      </c>
      <c r="BL79" s="92">
        <f t="shared" si="148"/>
        <v>0</v>
      </c>
      <c r="BM79" s="92">
        <f t="shared" si="149"/>
        <v>0</v>
      </c>
      <c r="BN79" s="85">
        <f t="shared" si="150"/>
        <v>7229.8499634167592</v>
      </c>
      <c r="BO79" s="85">
        <f t="shared" si="113"/>
        <v>508480.08506939374</v>
      </c>
      <c r="BP79" s="93">
        <f t="shared" si="114"/>
        <v>610681.97946522862</v>
      </c>
      <c r="BQ79" s="93">
        <f t="shared" si="115"/>
        <v>488645.38350918109</v>
      </c>
      <c r="BR79" s="94">
        <f t="shared" si="116"/>
        <v>0</v>
      </c>
      <c r="BS79" s="92">
        <f t="shared" si="117"/>
        <v>0</v>
      </c>
      <c r="BT79" s="95"/>
      <c r="BU79" s="85">
        <f t="shared" si="151"/>
        <v>7229.8499634167592</v>
      </c>
      <c r="BV79" s="85">
        <f t="shared" si="118"/>
        <v>508480.08506939374</v>
      </c>
      <c r="BW79" s="92">
        <f t="shared" si="152"/>
        <v>0</v>
      </c>
      <c r="BX79" s="92">
        <f t="shared" si="153"/>
        <v>0</v>
      </c>
      <c r="BY79" s="85">
        <f t="shared" si="154"/>
        <v>7229.8499634167592</v>
      </c>
      <c r="BZ79" s="85">
        <f t="shared" si="119"/>
        <v>508480.08506939374</v>
      </c>
      <c r="CA79" s="96">
        <f t="shared" si="120"/>
        <v>610681.97946522862</v>
      </c>
      <c r="CB79" s="96">
        <f t="shared" si="121"/>
        <v>488645.38350918109</v>
      </c>
      <c r="CC79" s="94">
        <f t="shared" si="122"/>
        <v>0</v>
      </c>
      <c r="CD79" s="92">
        <f t="shared" si="123"/>
        <v>0</v>
      </c>
      <c r="CE79" s="66"/>
      <c r="CF79" s="85">
        <f t="shared" si="124"/>
        <v>7229.8499634167592</v>
      </c>
      <c r="CG79" s="85">
        <f t="shared" si="125"/>
        <v>508480.08506939374</v>
      </c>
      <c r="CH79" s="92">
        <f t="shared" si="155"/>
        <v>0</v>
      </c>
      <c r="CI79" s="92">
        <f t="shared" si="156"/>
        <v>0</v>
      </c>
      <c r="CJ79" s="85">
        <f t="shared" si="157"/>
        <v>7229.8499634167592</v>
      </c>
      <c r="CK79" s="85">
        <f t="shared" si="126"/>
        <v>508480.08506939374</v>
      </c>
      <c r="CL79" s="97">
        <f t="shared" si="127"/>
        <v>1.0405911980949676</v>
      </c>
      <c r="CM79" s="261"/>
      <c r="CN79" s="295">
        <f t="shared" si="158"/>
        <v>7374.45</v>
      </c>
      <c r="CP79" s="85">
        <f t="shared" si="159"/>
        <v>7374.45</v>
      </c>
      <c r="CQ79" s="85">
        <f t="shared" si="160"/>
        <v>6637.0050000000001</v>
      </c>
      <c r="CR79" s="85">
        <f t="shared" si="161"/>
        <v>8111.8950000000004</v>
      </c>
      <c r="CS79" s="295">
        <f t="shared" si="162"/>
        <v>7374.4469626850941</v>
      </c>
      <c r="CT79" s="295">
        <f t="shared" si="163"/>
        <v>7374.4469626850941</v>
      </c>
      <c r="CU79" s="303"/>
      <c r="CV79" s="303"/>
    </row>
    <row r="80" spans="1:100" s="153" customFormat="1" ht="15" customHeight="1" x14ac:dyDescent="0.3">
      <c r="A80" s="174">
        <v>61324</v>
      </c>
      <c r="B80" s="176" t="s">
        <v>273</v>
      </c>
      <c r="C80" s="175">
        <f>VLOOKUP($A80,'Fed Bs Rt+IME+GME+VBP+RAA+HAC'!$B$5:$AC$88,15,FALSE)</f>
        <v>6594.24</v>
      </c>
      <c r="D80" s="175">
        <f>VLOOKUP($A80,'Fed Bs Rt+IME+GME+VBP+RAA+HAC'!$B$5:$AC$88,21,FALSE)</f>
        <v>0</v>
      </c>
      <c r="E80" s="175">
        <f>VLOOKUP($A80,'Fed Bs Rt+IME+GME+VBP+RAA+HAC'!$B$5:$AC$88,25,FALSE)</f>
        <v>0</v>
      </c>
      <c r="F80" s="175">
        <f>VLOOKUP($A80,'Fed Bs Rt+IME+GME+VBP+RAA+HAC'!$B$5:$AC$88,23,FALSE)</f>
        <v>0</v>
      </c>
      <c r="G80" s="175">
        <f>VLOOKUP($A80,'Fed Bs Rt+IME+GME+VBP+RAA+HAC'!$B$5:$AC$88,28,FALSE)</f>
        <v>0</v>
      </c>
      <c r="H80" s="175">
        <f t="shared" si="128"/>
        <v>0</v>
      </c>
      <c r="I80" s="175">
        <f>VLOOKUP($A80,'Fed Bs Rt+IME+GME+VBP+RAA+HAC'!$B$5:$AC$88,16,FALSE)</f>
        <v>0</v>
      </c>
      <c r="J80" s="175">
        <f t="shared" si="129"/>
        <v>1648.56</v>
      </c>
      <c r="K80" s="175">
        <f t="shared" si="93"/>
        <v>0</v>
      </c>
      <c r="L80" s="294">
        <f>IF(OR(J80&gt;0,K80&gt;0,M80&gt;0),0,IF(VLOOKUP(A80,'Low Discharge'!A:C,3,FALSE)&lt;=L$3,L$1*C80,IF(VLOOKUP(A80,'Low Discharge'!A:C,3,FALSE)&gt;=L$2,0,(VLOOKUP(A80,'Low Discharge'!A:C,3,FALSE)-L$2)/(L$3-L$2)*L$1*C80)))</f>
        <v>0</v>
      </c>
      <c r="M80" s="170">
        <f>IF(VLOOKUP($A80,Characteristics!$A:$E,3,FALSE)=2,M$1*C80,0)</f>
        <v>0</v>
      </c>
      <c r="N80" s="170">
        <f>IF(VLOOKUP($A80,Characteristics!$A:$E,5,FALSE)&gt;=N$2,N$1*C80,IF(VLOOKUP($A80,Characteristics!$A:$E,5,FALSE)&lt;=N$3,0,(VLOOKUP($A80,Characteristics!$A:$E,5,FALSE)-N$3)/(N$2-N$3)*N$1*C80))</f>
        <v>0</v>
      </c>
      <c r="O80" s="170">
        <f>IF(VLOOKUP($A80,Characteristics!$A:$F,6,FALSE)&lt;=O$3,O$1*C80,IF(VLOOKUP($A80,Characteristics!$A:$F,6,FALSE)&gt;=O$2,0,(VLOOKUP($A80,Characteristics!$A:$F,6,FALSE)-O$2)/(O$3-O$2)*O$1*C80))</f>
        <v>792.54883279273668</v>
      </c>
      <c r="P80" s="175">
        <f t="shared" si="94"/>
        <v>9035.3488327927353</v>
      </c>
      <c r="Q80" s="175"/>
      <c r="R80" s="85">
        <v>6807.19</v>
      </c>
      <c r="S80" s="86">
        <f t="shared" si="130"/>
        <v>6977.3697499999989</v>
      </c>
      <c r="T80" s="85">
        <f t="shared" si="95"/>
        <v>270822.62234948052</v>
      </c>
      <c r="U80" s="88">
        <v>40.870199999999997</v>
      </c>
      <c r="V80" s="89">
        <v>0.94969999999999999</v>
      </c>
      <c r="W80" s="90">
        <f t="shared" si="96"/>
        <v>350701.90521854558</v>
      </c>
      <c r="X80" s="98" t="s">
        <v>5</v>
      </c>
      <c r="Y80" s="85">
        <f t="shared" si="131"/>
        <v>6977.3697499999989</v>
      </c>
      <c r="Z80" s="85">
        <f t="shared" si="132"/>
        <v>6279.6327749999991</v>
      </c>
      <c r="AA80" s="85">
        <f t="shared" si="133"/>
        <v>7675.1067249999996</v>
      </c>
      <c r="AB80" s="230"/>
      <c r="AC80" s="101"/>
      <c r="AD80" s="85">
        <f t="shared" si="134"/>
        <v>7533.0750965648394</v>
      </c>
      <c r="AE80" s="85">
        <f t="shared" si="97"/>
        <v>292392.00803529954</v>
      </c>
      <c r="AF80" s="92">
        <f t="shared" si="135"/>
        <v>0</v>
      </c>
      <c r="AG80" s="92">
        <f t="shared" si="136"/>
        <v>0</v>
      </c>
      <c r="AH80" s="85">
        <f t="shared" si="137"/>
        <v>7533.0750965648394</v>
      </c>
      <c r="AI80" s="85">
        <f t="shared" si="98"/>
        <v>292392.00803529954</v>
      </c>
      <c r="AJ80" s="93">
        <f t="shared" si="99"/>
        <v>350701.90521854558</v>
      </c>
      <c r="AK80" s="93">
        <f t="shared" si="100"/>
        <v>270822.62234948052</v>
      </c>
      <c r="AL80" s="94">
        <f t="shared" si="138"/>
        <v>0</v>
      </c>
      <c r="AM80" s="95"/>
      <c r="AN80" s="85">
        <f t="shared" si="139"/>
        <v>7510.0245347995487</v>
      </c>
      <c r="AO80" s="85">
        <f t="shared" si="101"/>
        <v>291497.31364363356</v>
      </c>
      <c r="AP80" s="92">
        <f t="shared" si="140"/>
        <v>0</v>
      </c>
      <c r="AQ80" s="92">
        <f t="shared" si="141"/>
        <v>0</v>
      </c>
      <c r="AR80" s="85">
        <f t="shared" si="142"/>
        <v>7510.0245347995487</v>
      </c>
      <c r="AS80" s="85">
        <f t="shared" si="102"/>
        <v>291497.31364363356</v>
      </c>
      <c r="AT80" s="93">
        <f t="shared" si="103"/>
        <v>350701.90521854558</v>
      </c>
      <c r="AU80" s="93">
        <f t="shared" si="104"/>
        <v>270822.62234948052</v>
      </c>
      <c r="AV80" s="94">
        <f t="shared" si="105"/>
        <v>0</v>
      </c>
      <c r="AW80" s="92">
        <f t="shared" si="164"/>
        <v>0</v>
      </c>
      <c r="AX80" s="95"/>
      <c r="AY80" s="85">
        <f t="shared" si="143"/>
        <v>7523.2201008343172</v>
      </c>
      <c r="AZ80" s="85">
        <f t="shared" si="106"/>
        <v>292009.49200381321</v>
      </c>
      <c r="BA80" s="92">
        <f t="shared" si="144"/>
        <v>0</v>
      </c>
      <c r="BB80" s="92">
        <f t="shared" si="145"/>
        <v>0</v>
      </c>
      <c r="BC80" s="85">
        <f t="shared" si="146"/>
        <v>7523.2201008343172</v>
      </c>
      <c r="BD80" s="85">
        <f t="shared" si="107"/>
        <v>292009.49200381321</v>
      </c>
      <c r="BE80" s="93">
        <f t="shared" si="108"/>
        <v>350701.90521854558</v>
      </c>
      <c r="BF80" s="93">
        <f t="shared" si="109"/>
        <v>270822.62234948052</v>
      </c>
      <c r="BG80" s="94">
        <f t="shared" si="110"/>
        <v>0</v>
      </c>
      <c r="BH80" s="92">
        <f t="shared" si="111"/>
        <v>0</v>
      </c>
      <c r="BI80" s="95"/>
      <c r="BJ80" s="85">
        <f t="shared" si="147"/>
        <v>7523.2201008343172</v>
      </c>
      <c r="BK80" s="85">
        <f t="shared" si="112"/>
        <v>292009.49200381321</v>
      </c>
      <c r="BL80" s="92">
        <f t="shared" si="148"/>
        <v>0</v>
      </c>
      <c r="BM80" s="92">
        <f t="shared" si="149"/>
        <v>0</v>
      </c>
      <c r="BN80" s="85">
        <f t="shared" si="150"/>
        <v>7523.2201008343172</v>
      </c>
      <c r="BO80" s="85">
        <f t="shared" si="113"/>
        <v>292009.49200381321</v>
      </c>
      <c r="BP80" s="93">
        <f t="shared" si="114"/>
        <v>350701.90521854558</v>
      </c>
      <c r="BQ80" s="93">
        <f t="shared" si="115"/>
        <v>270822.62234948052</v>
      </c>
      <c r="BR80" s="94">
        <f t="shared" si="116"/>
        <v>0</v>
      </c>
      <c r="BS80" s="92">
        <f t="shared" si="117"/>
        <v>0</v>
      </c>
      <c r="BT80" s="95"/>
      <c r="BU80" s="85">
        <f t="shared" si="151"/>
        <v>7523.2201008343172</v>
      </c>
      <c r="BV80" s="85">
        <f t="shared" si="118"/>
        <v>292009.49200381321</v>
      </c>
      <c r="BW80" s="92">
        <f t="shared" si="152"/>
        <v>0</v>
      </c>
      <c r="BX80" s="92">
        <f t="shared" si="153"/>
        <v>0</v>
      </c>
      <c r="BY80" s="85">
        <f t="shared" si="154"/>
        <v>7523.2201008343172</v>
      </c>
      <c r="BZ80" s="85">
        <f t="shared" si="119"/>
        <v>292009.49200381321</v>
      </c>
      <c r="CA80" s="96">
        <f t="shared" si="120"/>
        <v>350701.90521854558</v>
      </c>
      <c r="CB80" s="96">
        <f t="shared" si="121"/>
        <v>270822.62234948052</v>
      </c>
      <c r="CC80" s="94">
        <f t="shared" si="122"/>
        <v>0</v>
      </c>
      <c r="CD80" s="92">
        <f t="shared" si="123"/>
        <v>0</v>
      </c>
      <c r="CE80" s="66"/>
      <c r="CF80" s="85">
        <f t="shared" si="124"/>
        <v>7523.2201008343172</v>
      </c>
      <c r="CG80" s="85">
        <f t="shared" si="125"/>
        <v>292009.49200381321</v>
      </c>
      <c r="CH80" s="92">
        <f t="shared" si="155"/>
        <v>0</v>
      </c>
      <c r="CI80" s="92">
        <f t="shared" si="156"/>
        <v>0</v>
      </c>
      <c r="CJ80" s="85">
        <f t="shared" si="157"/>
        <v>7523.2201008343172</v>
      </c>
      <c r="CK80" s="85">
        <f t="shared" si="126"/>
        <v>292009.49200381321</v>
      </c>
      <c r="CL80" s="97">
        <f t="shared" si="127"/>
        <v>1.0782315357207948</v>
      </c>
      <c r="CM80" s="261"/>
      <c r="CN80" s="295">
        <f t="shared" si="158"/>
        <v>7673.68</v>
      </c>
      <c r="CP80" s="85">
        <f t="shared" si="159"/>
        <v>7673.68</v>
      </c>
      <c r="CQ80" s="85">
        <f t="shared" si="160"/>
        <v>6906.3120000000008</v>
      </c>
      <c r="CR80" s="85">
        <f t="shared" si="161"/>
        <v>8441.0480000000007</v>
      </c>
      <c r="CS80" s="295">
        <f t="shared" si="162"/>
        <v>7673.6845028510033</v>
      </c>
      <c r="CT80" s="295">
        <f t="shared" si="163"/>
        <v>7673.6845028510033</v>
      </c>
      <c r="CU80" s="303"/>
      <c r="CV80" s="303"/>
    </row>
    <row r="81" spans="1:100" s="153" customFormat="1" ht="15" customHeight="1" x14ac:dyDescent="0.3">
      <c r="A81" s="174">
        <v>61325</v>
      </c>
      <c r="B81" s="176" t="s">
        <v>273</v>
      </c>
      <c r="C81" s="175">
        <f>VLOOKUP($A81,'Fed Bs Rt+IME+GME+VBP+RAA+HAC'!$B$5:$AC$88,15,FALSE)</f>
        <v>6594.24</v>
      </c>
      <c r="D81" s="175">
        <f>VLOOKUP($A81,'Fed Bs Rt+IME+GME+VBP+RAA+HAC'!$B$5:$AC$88,21,FALSE)</f>
        <v>0</v>
      </c>
      <c r="E81" s="175">
        <f>VLOOKUP($A81,'Fed Bs Rt+IME+GME+VBP+RAA+HAC'!$B$5:$AC$88,25,FALSE)</f>
        <v>0</v>
      </c>
      <c r="F81" s="175">
        <f>VLOOKUP($A81,'Fed Bs Rt+IME+GME+VBP+RAA+HAC'!$B$5:$AC$88,23,FALSE)</f>
        <v>0</v>
      </c>
      <c r="G81" s="175">
        <f>VLOOKUP($A81,'Fed Bs Rt+IME+GME+VBP+RAA+HAC'!$B$5:$AC$88,28,FALSE)</f>
        <v>0</v>
      </c>
      <c r="H81" s="175">
        <f t="shared" si="128"/>
        <v>0</v>
      </c>
      <c r="I81" s="175">
        <f>VLOOKUP($A81,'Fed Bs Rt+IME+GME+VBP+RAA+HAC'!$B$5:$AC$88,16,FALSE)</f>
        <v>0</v>
      </c>
      <c r="J81" s="175">
        <f t="shared" si="129"/>
        <v>1648.56</v>
      </c>
      <c r="K81" s="175">
        <f t="shared" si="93"/>
        <v>0</v>
      </c>
      <c r="L81" s="294">
        <f>IF(OR(J81&gt;0,K81&gt;0,M81&gt;0),0,IF(VLOOKUP(A81,'Low Discharge'!A:C,3,FALSE)&lt;=L$3,L$1*C81,IF(VLOOKUP(A81,'Low Discharge'!A:C,3,FALSE)&gt;=L$2,0,(VLOOKUP(A81,'Low Discharge'!A:C,3,FALSE)-L$2)/(L$3-L$2)*L$1*C81)))</f>
        <v>0</v>
      </c>
      <c r="M81" s="170">
        <f>IF(VLOOKUP($A81,Characteristics!$A:$E,3,FALSE)=2,M$1*C81,0)</f>
        <v>0</v>
      </c>
      <c r="N81" s="170">
        <f>IF(VLOOKUP($A81,Characteristics!$A:$E,5,FALSE)&gt;=N$2,N$1*C81,IF(VLOOKUP($A81,Characteristics!$A:$E,5,FALSE)&lt;=N$3,0,(VLOOKUP($A81,Characteristics!$A:$E,5,FALSE)-N$3)/(N$2-N$3)*N$1*C81))</f>
        <v>0</v>
      </c>
      <c r="O81" s="170">
        <f>IF(VLOOKUP($A81,Characteristics!$A:$F,6,FALSE)&lt;=O$3,O$1*C81,IF(VLOOKUP($A81,Characteristics!$A:$F,6,FALSE)&gt;=O$2,0,(VLOOKUP($A81,Characteristics!$A:$F,6,FALSE)-O$2)/(O$3-O$2)*O$1*C81))</f>
        <v>1151.6479880073546</v>
      </c>
      <c r="P81" s="175">
        <f t="shared" si="94"/>
        <v>9394.4479880073541</v>
      </c>
      <c r="Q81" s="175"/>
      <c r="R81" s="85">
        <v>6736.64</v>
      </c>
      <c r="S81" s="86">
        <f t="shared" si="130"/>
        <v>6905.0559999999996</v>
      </c>
      <c r="T81" s="85">
        <f t="shared" si="95"/>
        <v>220390.5555490909</v>
      </c>
      <c r="U81" s="305">
        <v>30</v>
      </c>
      <c r="V81" s="89">
        <v>1.0639090909090909</v>
      </c>
      <c r="W81" s="90">
        <f t="shared" si="96"/>
        <v>299845.15855540923</v>
      </c>
      <c r="X81" s="98" t="s">
        <v>5</v>
      </c>
      <c r="Y81" s="85">
        <f t="shared" si="131"/>
        <v>6905.0559999999996</v>
      </c>
      <c r="Z81" s="85">
        <f t="shared" si="132"/>
        <v>6214.5504000000001</v>
      </c>
      <c r="AA81" s="85">
        <f t="shared" si="133"/>
        <v>7595.5616</v>
      </c>
      <c r="AB81" s="230"/>
      <c r="AC81" s="101"/>
      <c r="AD81" s="85">
        <f t="shared" si="134"/>
        <v>7832.4681751725848</v>
      </c>
      <c r="AE81" s="85">
        <f t="shared" si="97"/>
        <v>249991.02287466751</v>
      </c>
      <c r="AF81" s="92">
        <f t="shared" si="135"/>
        <v>0</v>
      </c>
      <c r="AG81" s="92">
        <f t="shared" si="136"/>
        <v>1</v>
      </c>
      <c r="AH81" s="85">
        <f t="shared" si="137"/>
        <v>7595.5616</v>
      </c>
      <c r="AI81" s="85">
        <f t="shared" si="98"/>
        <v>242429.61110400001</v>
      </c>
      <c r="AJ81" s="93">
        <f t="shared" si="99"/>
        <v>299845.15855540923</v>
      </c>
      <c r="AK81" s="93">
        <f t="shared" si="100"/>
        <v>220390.5555490909</v>
      </c>
      <c r="AL81" s="94">
        <f t="shared" si="138"/>
        <v>0</v>
      </c>
      <c r="AM81" s="95"/>
      <c r="AN81" s="85">
        <f t="shared" si="139"/>
        <v>7808.5014963419417</v>
      </c>
      <c r="AO81" s="85">
        <f t="shared" si="101"/>
        <v>249226.07185006296</v>
      </c>
      <c r="AP81" s="92">
        <f t="shared" si="140"/>
        <v>0</v>
      </c>
      <c r="AQ81" s="92">
        <f t="shared" si="141"/>
        <v>1</v>
      </c>
      <c r="AR81" s="85">
        <f t="shared" si="142"/>
        <v>7595.5616</v>
      </c>
      <c r="AS81" s="85">
        <f t="shared" si="102"/>
        <v>242429.61110400001</v>
      </c>
      <c r="AT81" s="93">
        <f t="shared" si="103"/>
        <v>0</v>
      </c>
      <c r="AU81" s="93">
        <f t="shared" si="104"/>
        <v>-22039.055554909108</v>
      </c>
      <c r="AV81" s="94">
        <f t="shared" si="105"/>
        <v>1</v>
      </c>
      <c r="AW81" s="92">
        <f t="shared" si="164"/>
        <v>1</v>
      </c>
      <c r="AX81" s="95"/>
      <c r="AY81" s="85">
        <f t="shared" si="143"/>
        <v>7595.5616</v>
      </c>
      <c r="AZ81" s="85">
        <f t="shared" si="106"/>
        <v>242429.61110400001</v>
      </c>
      <c r="BA81" s="92">
        <f t="shared" si="144"/>
        <v>0</v>
      </c>
      <c r="BB81" s="92">
        <f t="shared" si="145"/>
        <v>1</v>
      </c>
      <c r="BC81" s="85">
        <f t="shared" si="146"/>
        <v>7595.5616</v>
      </c>
      <c r="BD81" s="85">
        <f t="shared" si="107"/>
        <v>242429.61110400001</v>
      </c>
      <c r="BE81" s="93">
        <f t="shared" si="108"/>
        <v>0</v>
      </c>
      <c r="BF81" s="93">
        <f t="shared" si="109"/>
        <v>-22039.055554909108</v>
      </c>
      <c r="BG81" s="94">
        <f t="shared" si="110"/>
        <v>1</v>
      </c>
      <c r="BH81" s="92">
        <f t="shared" si="111"/>
        <v>0</v>
      </c>
      <c r="BI81" s="95"/>
      <c r="BJ81" s="85">
        <f t="shared" si="147"/>
        <v>7595.5616</v>
      </c>
      <c r="BK81" s="85">
        <f t="shared" si="112"/>
        <v>242429.61110400001</v>
      </c>
      <c r="BL81" s="92">
        <f t="shared" si="148"/>
        <v>0</v>
      </c>
      <c r="BM81" s="92">
        <f t="shared" si="149"/>
        <v>1</v>
      </c>
      <c r="BN81" s="85">
        <f t="shared" si="150"/>
        <v>7595.5616</v>
      </c>
      <c r="BO81" s="85">
        <f t="shared" si="113"/>
        <v>242429.61110400001</v>
      </c>
      <c r="BP81" s="93">
        <f t="shared" si="114"/>
        <v>0</v>
      </c>
      <c r="BQ81" s="93">
        <f t="shared" si="115"/>
        <v>-22039.055554909108</v>
      </c>
      <c r="BR81" s="94">
        <f t="shared" si="116"/>
        <v>1</v>
      </c>
      <c r="BS81" s="92">
        <f t="shared" si="117"/>
        <v>0</v>
      </c>
      <c r="BT81" s="95"/>
      <c r="BU81" s="85">
        <f t="shared" si="151"/>
        <v>7595.5616</v>
      </c>
      <c r="BV81" s="85">
        <f t="shared" si="118"/>
        <v>242429.61110400001</v>
      </c>
      <c r="BW81" s="92">
        <f t="shared" si="152"/>
        <v>0</v>
      </c>
      <c r="BX81" s="92">
        <f t="shared" si="153"/>
        <v>1</v>
      </c>
      <c r="BY81" s="85">
        <f t="shared" si="154"/>
        <v>7595.5616</v>
      </c>
      <c r="BZ81" s="85">
        <f t="shared" si="119"/>
        <v>242429.61110400001</v>
      </c>
      <c r="CA81" s="96">
        <f t="shared" si="120"/>
        <v>0</v>
      </c>
      <c r="CB81" s="96">
        <f t="shared" si="121"/>
        <v>-22039.055554909108</v>
      </c>
      <c r="CC81" s="94">
        <f t="shared" si="122"/>
        <v>1</v>
      </c>
      <c r="CD81" s="92">
        <f t="shared" si="123"/>
        <v>0</v>
      </c>
      <c r="CE81" s="66"/>
      <c r="CF81" s="85">
        <f t="shared" si="124"/>
        <v>7822.2215043991873</v>
      </c>
      <c r="CG81" s="85">
        <f t="shared" si="125"/>
        <v>249663.97708904641</v>
      </c>
      <c r="CH81" s="92">
        <f t="shared" si="155"/>
        <v>0</v>
      </c>
      <c r="CI81" s="92">
        <f t="shared" si="156"/>
        <v>1</v>
      </c>
      <c r="CJ81" s="85">
        <f t="shared" si="157"/>
        <v>7595.5616</v>
      </c>
      <c r="CK81" s="85">
        <f t="shared" si="126"/>
        <v>242429.61110400001</v>
      </c>
      <c r="CL81" s="97">
        <f t="shared" si="127"/>
        <v>1.1000000000000001</v>
      </c>
      <c r="CM81" s="261"/>
      <c r="CN81" s="295">
        <f t="shared" si="158"/>
        <v>7747.47</v>
      </c>
      <c r="CP81" s="85">
        <f t="shared" si="159"/>
        <v>7747.47</v>
      </c>
      <c r="CQ81" s="85">
        <f t="shared" si="160"/>
        <v>6972.723</v>
      </c>
      <c r="CR81" s="85">
        <f t="shared" si="161"/>
        <v>8522.2170000000006</v>
      </c>
      <c r="CS81" s="295">
        <f t="shared" si="162"/>
        <v>7978.6659344871714</v>
      </c>
      <c r="CT81" s="295">
        <f t="shared" si="163"/>
        <v>7978.6659344871714</v>
      </c>
      <c r="CU81" s="303"/>
      <c r="CV81" s="303"/>
    </row>
    <row r="82" spans="1:100" s="153" customFormat="1" ht="15" customHeight="1" x14ac:dyDescent="0.3">
      <c r="A82" s="174">
        <v>61326</v>
      </c>
      <c r="B82" s="176" t="s">
        <v>273</v>
      </c>
      <c r="C82" s="175">
        <f>VLOOKUP($A82,'Fed Bs Rt+IME+GME+VBP+RAA+HAC'!$B$5:$AC$88,15,FALSE)</f>
        <v>6594.24</v>
      </c>
      <c r="D82" s="175">
        <f>VLOOKUP($A82,'Fed Bs Rt+IME+GME+VBP+RAA+HAC'!$B$5:$AC$88,21,FALSE)</f>
        <v>0</v>
      </c>
      <c r="E82" s="175">
        <f>VLOOKUP($A82,'Fed Bs Rt+IME+GME+VBP+RAA+HAC'!$B$5:$AC$88,25,FALSE)</f>
        <v>0</v>
      </c>
      <c r="F82" s="175">
        <f>VLOOKUP($A82,'Fed Bs Rt+IME+GME+VBP+RAA+HAC'!$B$5:$AC$88,23,FALSE)</f>
        <v>0</v>
      </c>
      <c r="G82" s="175">
        <f>VLOOKUP($A82,'Fed Bs Rt+IME+GME+VBP+RAA+HAC'!$B$5:$AC$88,28,FALSE)</f>
        <v>0</v>
      </c>
      <c r="H82" s="175">
        <f t="shared" si="128"/>
        <v>0</v>
      </c>
      <c r="I82" s="175">
        <f>VLOOKUP($A82,'Fed Bs Rt+IME+GME+VBP+RAA+HAC'!$B$5:$AC$88,16,FALSE)</f>
        <v>0</v>
      </c>
      <c r="J82" s="175">
        <f t="shared" si="129"/>
        <v>1648.56</v>
      </c>
      <c r="K82" s="175">
        <f t="shared" si="93"/>
        <v>0</v>
      </c>
      <c r="L82" s="294">
        <f>IF(OR(J82&gt;0,K82&gt;0,M82&gt;0),0,IF(VLOOKUP(A82,'Low Discharge'!A:C,3,FALSE)&lt;=L$3,L$1*C82,IF(VLOOKUP(A82,'Low Discharge'!A:C,3,FALSE)&gt;=L$2,0,(VLOOKUP(A82,'Low Discharge'!A:C,3,FALSE)-L$2)/(L$3-L$2)*L$1*C82)))</f>
        <v>0</v>
      </c>
      <c r="M82" s="170">
        <f>IF(VLOOKUP($A82,Characteristics!$A:$E,3,FALSE)=2,M$1*C82,0)</f>
        <v>0</v>
      </c>
      <c r="N82" s="170">
        <f>IF(VLOOKUP($A82,Characteristics!$A:$E,5,FALSE)&gt;=N$2,N$1*C82,IF(VLOOKUP($A82,Characteristics!$A:$E,5,FALSE)&lt;=N$3,0,(VLOOKUP($A82,Characteristics!$A:$E,5,FALSE)-N$3)/(N$2-N$3)*N$1*C82))</f>
        <v>0</v>
      </c>
      <c r="O82" s="170">
        <f>IF(VLOOKUP($A82,Characteristics!$A:$F,6,FALSE)&lt;=O$3,O$1*C82,IF(VLOOKUP($A82,Characteristics!$A:$F,6,FALSE)&gt;=O$2,0,(VLOOKUP($A82,Characteristics!$A:$F,6,FALSE)-O$2)/(O$3-O$2)*O$1*C82))</f>
        <v>0</v>
      </c>
      <c r="P82" s="175">
        <f t="shared" si="94"/>
        <v>8242.7999999999993</v>
      </c>
      <c r="Q82" s="175"/>
      <c r="R82" s="85">
        <v>5480.61</v>
      </c>
      <c r="S82" s="86">
        <f t="shared" si="130"/>
        <v>5617.6252499999991</v>
      </c>
      <c r="T82" s="85">
        <f t="shared" si="95"/>
        <v>355832.64324034553</v>
      </c>
      <c r="U82" s="88">
        <v>58.543799999999997</v>
      </c>
      <c r="V82" s="89">
        <v>1.0819622641509434</v>
      </c>
      <c r="W82" s="90">
        <f t="shared" si="96"/>
        <v>522116.94108671998</v>
      </c>
      <c r="X82" s="98" t="s">
        <v>5</v>
      </c>
      <c r="Y82" s="85">
        <f t="shared" si="131"/>
        <v>5617.6252499999991</v>
      </c>
      <c r="Z82" s="85">
        <f t="shared" si="132"/>
        <v>5055.862724999999</v>
      </c>
      <c r="AA82" s="85">
        <f t="shared" si="133"/>
        <v>6179.3877749999992</v>
      </c>
      <c r="AB82" s="230"/>
      <c r="AC82" s="101"/>
      <c r="AD82" s="85">
        <f t="shared" si="134"/>
        <v>6872.3004009101596</v>
      </c>
      <c r="AE82" s="85">
        <f t="shared" si="97"/>
        <v>435306.50550204446</v>
      </c>
      <c r="AF82" s="92">
        <f t="shared" si="135"/>
        <v>0</v>
      </c>
      <c r="AG82" s="92">
        <f t="shared" si="136"/>
        <v>1</v>
      </c>
      <c r="AH82" s="85">
        <f t="shared" si="137"/>
        <v>6179.3877749999992</v>
      </c>
      <c r="AI82" s="85">
        <f t="shared" si="98"/>
        <v>391415.90756438009</v>
      </c>
      <c r="AJ82" s="93">
        <f t="shared" si="99"/>
        <v>522116.94108671998</v>
      </c>
      <c r="AK82" s="93">
        <f t="shared" si="100"/>
        <v>355832.64324034553</v>
      </c>
      <c r="AL82" s="94">
        <f t="shared" si="138"/>
        <v>0</v>
      </c>
      <c r="AM82" s="95"/>
      <c r="AN82" s="85">
        <f t="shared" si="139"/>
        <v>6851.2717528706553</v>
      </c>
      <c r="AO82" s="85">
        <f t="shared" si="101"/>
        <v>433974.50504230073</v>
      </c>
      <c r="AP82" s="92">
        <f t="shared" si="140"/>
        <v>0</v>
      </c>
      <c r="AQ82" s="92">
        <f t="shared" si="141"/>
        <v>1</v>
      </c>
      <c r="AR82" s="85">
        <f t="shared" si="142"/>
        <v>6179.3877749999992</v>
      </c>
      <c r="AS82" s="85">
        <f t="shared" si="102"/>
        <v>391415.90756438009</v>
      </c>
      <c r="AT82" s="93">
        <f t="shared" si="103"/>
        <v>0</v>
      </c>
      <c r="AU82" s="93">
        <f t="shared" si="104"/>
        <v>-35583.264324034564</v>
      </c>
      <c r="AV82" s="94">
        <f t="shared" si="105"/>
        <v>1</v>
      </c>
      <c r="AW82" s="92">
        <f t="shared" si="164"/>
        <v>1</v>
      </c>
      <c r="AX82" s="95"/>
      <c r="AY82" s="85">
        <f t="shared" si="143"/>
        <v>6179.3877749999992</v>
      </c>
      <c r="AZ82" s="85">
        <f t="shared" si="106"/>
        <v>391415.90756438009</v>
      </c>
      <c r="BA82" s="92">
        <f t="shared" si="144"/>
        <v>0</v>
      </c>
      <c r="BB82" s="92">
        <f t="shared" si="145"/>
        <v>1</v>
      </c>
      <c r="BC82" s="85">
        <f t="shared" si="146"/>
        <v>6179.3877749999992</v>
      </c>
      <c r="BD82" s="85">
        <f t="shared" si="107"/>
        <v>391415.90756438009</v>
      </c>
      <c r="BE82" s="93">
        <f t="shared" si="108"/>
        <v>0</v>
      </c>
      <c r="BF82" s="93">
        <f t="shared" si="109"/>
        <v>-35583.264324034564</v>
      </c>
      <c r="BG82" s="94">
        <f t="shared" si="110"/>
        <v>1</v>
      </c>
      <c r="BH82" s="92">
        <f t="shared" si="111"/>
        <v>0</v>
      </c>
      <c r="BI82" s="95"/>
      <c r="BJ82" s="85">
        <f t="shared" si="147"/>
        <v>6179.3877749999992</v>
      </c>
      <c r="BK82" s="85">
        <f t="shared" si="112"/>
        <v>391415.90756438009</v>
      </c>
      <c r="BL82" s="92">
        <f t="shared" si="148"/>
        <v>0</v>
      </c>
      <c r="BM82" s="92">
        <f t="shared" si="149"/>
        <v>1</v>
      </c>
      <c r="BN82" s="85">
        <f t="shared" si="150"/>
        <v>6179.3877749999992</v>
      </c>
      <c r="BO82" s="85">
        <f t="shared" si="113"/>
        <v>391415.90756438009</v>
      </c>
      <c r="BP82" s="93">
        <f t="shared" si="114"/>
        <v>0</v>
      </c>
      <c r="BQ82" s="93">
        <f t="shared" si="115"/>
        <v>-35583.264324034564</v>
      </c>
      <c r="BR82" s="94">
        <f t="shared" si="116"/>
        <v>1</v>
      </c>
      <c r="BS82" s="92">
        <f t="shared" si="117"/>
        <v>0</v>
      </c>
      <c r="BT82" s="95"/>
      <c r="BU82" s="85">
        <f t="shared" si="151"/>
        <v>6179.3877749999992</v>
      </c>
      <c r="BV82" s="85">
        <f t="shared" si="118"/>
        <v>391415.90756438009</v>
      </c>
      <c r="BW82" s="92">
        <f t="shared" si="152"/>
        <v>0</v>
      </c>
      <c r="BX82" s="92">
        <f t="shared" si="153"/>
        <v>1</v>
      </c>
      <c r="BY82" s="85">
        <f t="shared" si="154"/>
        <v>6179.3877749999992</v>
      </c>
      <c r="BZ82" s="85">
        <f t="shared" si="119"/>
        <v>391415.90756438009</v>
      </c>
      <c r="CA82" s="96">
        <f t="shared" si="120"/>
        <v>0</v>
      </c>
      <c r="CB82" s="96">
        <f t="shared" si="121"/>
        <v>-35583.264324034564</v>
      </c>
      <c r="CC82" s="94">
        <f t="shared" si="122"/>
        <v>1</v>
      </c>
      <c r="CD82" s="92">
        <f t="shared" si="123"/>
        <v>0</v>
      </c>
      <c r="CE82" s="66"/>
      <c r="CF82" s="85">
        <f t="shared" si="124"/>
        <v>6863.3098505384096</v>
      </c>
      <c r="CG82" s="85">
        <f t="shared" si="125"/>
        <v>434737.02442052064</v>
      </c>
      <c r="CH82" s="92">
        <f t="shared" si="155"/>
        <v>0</v>
      </c>
      <c r="CI82" s="92">
        <f t="shared" si="156"/>
        <v>1</v>
      </c>
      <c r="CJ82" s="85">
        <f t="shared" si="157"/>
        <v>6179.3877749999992</v>
      </c>
      <c r="CK82" s="85">
        <f t="shared" si="126"/>
        <v>391415.90756438009</v>
      </c>
      <c r="CL82" s="97">
        <f t="shared" si="127"/>
        <v>1.1000000000000001</v>
      </c>
      <c r="CM82" s="261"/>
      <c r="CN82" s="295">
        <f t="shared" si="158"/>
        <v>6302.98</v>
      </c>
      <c r="CP82" s="85">
        <f t="shared" si="159"/>
        <v>6302.98</v>
      </c>
      <c r="CQ82" s="85">
        <f t="shared" si="160"/>
        <v>5672.6819999999998</v>
      </c>
      <c r="CR82" s="85">
        <f t="shared" si="161"/>
        <v>6933.2780000000002</v>
      </c>
      <c r="CS82" s="295">
        <f t="shared" si="162"/>
        <v>7000.5760475491779</v>
      </c>
      <c r="CT82" s="295">
        <f t="shared" si="163"/>
        <v>6933.2780000000002</v>
      </c>
      <c r="CU82" s="303"/>
      <c r="CV82" s="303"/>
    </row>
    <row r="83" spans="1:100" s="153" customFormat="1" ht="15" customHeight="1" x14ac:dyDescent="0.3">
      <c r="A83" s="174">
        <v>61327</v>
      </c>
      <c r="B83" s="176" t="s">
        <v>273</v>
      </c>
      <c r="C83" s="175">
        <f>VLOOKUP($A83,'Fed Bs Rt+IME+GME+VBP+RAA+HAC'!$B$5:$AC$88,15,FALSE)</f>
        <v>6594.24</v>
      </c>
      <c r="D83" s="175">
        <f>VLOOKUP($A83,'Fed Bs Rt+IME+GME+VBP+RAA+HAC'!$B$5:$AC$88,21,FALSE)</f>
        <v>0</v>
      </c>
      <c r="E83" s="175">
        <f>VLOOKUP($A83,'Fed Bs Rt+IME+GME+VBP+RAA+HAC'!$B$5:$AC$88,25,FALSE)</f>
        <v>0</v>
      </c>
      <c r="F83" s="175">
        <f>VLOOKUP($A83,'Fed Bs Rt+IME+GME+VBP+RAA+HAC'!$B$5:$AC$88,23,FALSE)</f>
        <v>0</v>
      </c>
      <c r="G83" s="175">
        <f>VLOOKUP($A83,'Fed Bs Rt+IME+GME+VBP+RAA+HAC'!$B$5:$AC$88,28,FALSE)</f>
        <v>0</v>
      </c>
      <c r="H83" s="175">
        <f t="shared" si="128"/>
        <v>0</v>
      </c>
      <c r="I83" s="175">
        <f>VLOOKUP($A83,'Fed Bs Rt+IME+GME+VBP+RAA+HAC'!$B$5:$AC$88,16,FALSE)</f>
        <v>0</v>
      </c>
      <c r="J83" s="175">
        <f t="shared" si="129"/>
        <v>1648.56</v>
      </c>
      <c r="K83" s="175">
        <f t="shared" si="93"/>
        <v>0</v>
      </c>
      <c r="L83" s="294">
        <f>IF(OR(J83&gt;0,K83&gt;0,M83&gt;0),0,IF(VLOOKUP(A83,'Low Discharge'!A:C,3,FALSE)&lt;=L$3,L$1*C83,IF(VLOOKUP(A83,'Low Discharge'!A:C,3,FALSE)&gt;=L$2,0,(VLOOKUP(A83,'Low Discharge'!A:C,3,FALSE)-L$2)/(L$3-L$2)*L$1*C83)))</f>
        <v>0</v>
      </c>
      <c r="M83" s="170">
        <f>IF(VLOOKUP($A83,Characteristics!$A:$E,3,FALSE)=2,M$1*C83,0)</f>
        <v>0</v>
      </c>
      <c r="N83" s="170">
        <f>IF(VLOOKUP($A83,Characteristics!$A:$E,5,FALSE)&gt;=N$2,N$1*C83,IF(VLOOKUP($A83,Characteristics!$A:$E,5,FALSE)&lt;=N$3,0,(VLOOKUP($A83,Characteristics!$A:$E,5,FALSE)-N$3)/(N$2-N$3)*N$1*C83))</f>
        <v>0</v>
      </c>
      <c r="O83" s="170">
        <f>IF(VLOOKUP($A83,Characteristics!$A:$F,6,FALSE)&lt;=O$3,O$1*C83,IF(VLOOKUP($A83,Characteristics!$A:$F,6,FALSE)&gt;=O$2,0,(VLOOKUP($A83,Characteristics!$A:$F,6,FALSE)-O$2)/(O$3-O$2)*O$1*C83))</f>
        <v>709.40704057725873</v>
      </c>
      <c r="P83" s="175">
        <f t="shared" si="94"/>
        <v>8952.2070405772574</v>
      </c>
      <c r="Q83" s="175"/>
      <c r="R83" s="85">
        <v>6875.15</v>
      </c>
      <c r="S83" s="86">
        <f t="shared" si="130"/>
        <v>7047.0287499999986</v>
      </c>
      <c r="T83" s="85">
        <f t="shared" si="95"/>
        <v>1525478.9355521754</v>
      </c>
      <c r="U83" s="88">
        <v>305.9742</v>
      </c>
      <c r="V83" s="89">
        <v>0.70748194945848375</v>
      </c>
      <c r="W83" s="90">
        <f t="shared" si="96"/>
        <v>1937895.2110990728</v>
      </c>
      <c r="X83" s="98" t="s">
        <v>5</v>
      </c>
      <c r="Y83" s="85">
        <f t="shared" si="131"/>
        <v>7047.0287499999986</v>
      </c>
      <c r="Z83" s="85">
        <f t="shared" si="132"/>
        <v>6342.3258749999986</v>
      </c>
      <c r="AA83" s="85">
        <f t="shared" si="133"/>
        <v>7751.7316249999994</v>
      </c>
      <c r="AB83" s="230"/>
      <c r="AC83" s="101"/>
      <c r="AD83" s="85">
        <f t="shared" si="134"/>
        <v>7463.7569799085068</v>
      </c>
      <c r="AE83" s="85">
        <f t="shared" si="97"/>
        <v>1615688.6053474592</v>
      </c>
      <c r="AF83" s="92">
        <f t="shared" si="135"/>
        <v>0</v>
      </c>
      <c r="AG83" s="92">
        <f t="shared" si="136"/>
        <v>0</v>
      </c>
      <c r="AH83" s="85">
        <f t="shared" si="137"/>
        <v>7463.7569799085068</v>
      </c>
      <c r="AI83" s="85">
        <f t="shared" si="98"/>
        <v>1615688.6053474592</v>
      </c>
      <c r="AJ83" s="93">
        <f t="shared" si="99"/>
        <v>1937895.2110990728</v>
      </c>
      <c r="AK83" s="93">
        <f t="shared" si="100"/>
        <v>1525478.9355521754</v>
      </c>
      <c r="AL83" s="94">
        <f t="shared" si="138"/>
        <v>0</v>
      </c>
      <c r="AM83" s="95"/>
      <c r="AN83" s="85">
        <f t="shared" si="139"/>
        <v>7440.9185256171177</v>
      </c>
      <c r="AO83" s="85">
        <f t="shared" si="101"/>
        <v>1610744.7372041533</v>
      </c>
      <c r="AP83" s="92">
        <f t="shared" si="140"/>
        <v>0</v>
      </c>
      <c r="AQ83" s="92">
        <f t="shared" si="141"/>
        <v>0</v>
      </c>
      <c r="AR83" s="85">
        <f t="shared" si="142"/>
        <v>7440.9185256171177</v>
      </c>
      <c r="AS83" s="85">
        <f t="shared" si="102"/>
        <v>1610744.7372041533</v>
      </c>
      <c r="AT83" s="93">
        <f t="shared" si="103"/>
        <v>1937895.2110990728</v>
      </c>
      <c r="AU83" s="93">
        <f t="shared" si="104"/>
        <v>1525478.9355521754</v>
      </c>
      <c r="AV83" s="94">
        <f t="shared" si="105"/>
        <v>0</v>
      </c>
      <c r="AW83" s="92">
        <f t="shared" si="164"/>
        <v>0</v>
      </c>
      <c r="AX83" s="95"/>
      <c r="AY83" s="85">
        <f t="shared" si="143"/>
        <v>7453.9926682259911</v>
      </c>
      <c r="AZ83" s="85">
        <f t="shared" si="106"/>
        <v>1613574.9128509099</v>
      </c>
      <c r="BA83" s="92">
        <f t="shared" si="144"/>
        <v>0</v>
      </c>
      <c r="BB83" s="92">
        <f t="shared" si="145"/>
        <v>0</v>
      </c>
      <c r="BC83" s="85">
        <f t="shared" si="146"/>
        <v>7453.9926682259911</v>
      </c>
      <c r="BD83" s="85">
        <f t="shared" si="107"/>
        <v>1613574.9128509099</v>
      </c>
      <c r="BE83" s="93">
        <f t="shared" si="108"/>
        <v>1937895.2110990728</v>
      </c>
      <c r="BF83" s="93">
        <f t="shared" si="109"/>
        <v>1525478.9355521754</v>
      </c>
      <c r="BG83" s="94">
        <f t="shared" si="110"/>
        <v>0</v>
      </c>
      <c r="BH83" s="92">
        <f t="shared" si="111"/>
        <v>0</v>
      </c>
      <c r="BI83" s="95"/>
      <c r="BJ83" s="85">
        <f t="shared" si="147"/>
        <v>7453.9926682259911</v>
      </c>
      <c r="BK83" s="85">
        <f t="shared" si="112"/>
        <v>1613574.9128509099</v>
      </c>
      <c r="BL83" s="92">
        <f t="shared" si="148"/>
        <v>0</v>
      </c>
      <c r="BM83" s="92">
        <f t="shared" si="149"/>
        <v>0</v>
      </c>
      <c r="BN83" s="85">
        <f t="shared" si="150"/>
        <v>7453.9926682259911</v>
      </c>
      <c r="BO83" s="85">
        <f t="shared" si="113"/>
        <v>1613574.9128509099</v>
      </c>
      <c r="BP83" s="93">
        <f t="shared" si="114"/>
        <v>1937895.2110990728</v>
      </c>
      <c r="BQ83" s="93">
        <f t="shared" si="115"/>
        <v>1525478.9355521754</v>
      </c>
      <c r="BR83" s="94">
        <f t="shared" si="116"/>
        <v>0</v>
      </c>
      <c r="BS83" s="92">
        <f t="shared" si="117"/>
        <v>0</v>
      </c>
      <c r="BT83" s="95"/>
      <c r="BU83" s="85">
        <f t="shared" si="151"/>
        <v>7453.9926682259911</v>
      </c>
      <c r="BV83" s="85">
        <f t="shared" si="118"/>
        <v>1613574.9128509099</v>
      </c>
      <c r="BW83" s="92">
        <f t="shared" si="152"/>
        <v>0</v>
      </c>
      <c r="BX83" s="92">
        <f t="shared" si="153"/>
        <v>0</v>
      </c>
      <c r="BY83" s="85">
        <f t="shared" si="154"/>
        <v>7453.9926682259911</v>
      </c>
      <c r="BZ83" s="85">
        <f t="shared" si="119"/>
        <v>1613574.9128509099</v>
      </c>
      <c r="CA83" s="96">
        <f t="shared" si="120"/>
        <v>1937895.2110990728</v>
      </c>
      <c r="CB83" s="96">
        <f t="shared" si="121"/>
        <v>1525478.9355521754</v>
      </c>
      <c r="CC83" s="94">
        <f t="shared" si="122"/>
        <v>0</v>
      </c>
      <c r="CD83" s="92">
        <f t="shared" si="123"/>
        <v>0</v>
      </c>
      <c r="CE83" s="66"/>
      <c r="CF83" s="85">
        <f t="shared" si="124"/>
        <v>7453.9926682259911</v>
      </c>
      <c r="CG83" s="85">
        <f t="shared" si="125"/>
        <v>1613574.9128509099</v>
      </c>
      <c r="CH83" s="92">
        <f t="shared" si="155"/>
        <v>0</v>
      </c>
      <c r="CI83" s="92">
        <f t="shared" si="156"/>
        <v>0</v>
      </c>
      <c r="CJ83" s="85">
        <f t="shared" si="157"/>
        <v>7453.9926682259911</v>
      </c>
      <c r="CK83" s="85">
        <f t="shared" si="126"/>
        <v>1613574.9128509099</v>
      </c>
      <c r="CL83" s="97">
        <f t="shared" si="127"/>
        <v>1.0577497173153994</v>
      </c>
      <c r="CM83" s="261"/>
      <c r="CN83" s="295">
        <f t="shared" si="158"/>
        <v>7603.07</v>
      </c>
      <c r="CP83" s="85">
        <f t="shared" si="159"/>
        <v>7603.07</v>
      </c>
      <c r="CQ83" s="85">
        <f t="shared" si="160"/>
        <v>6842.7629999999999</v>
      </c>
      <c r="CR83" s="85">
        <f t="shared" si="161"/>
        <v>8363.3770000000004</v>
      </c>
      <c r="CS83" s="295">
        <f t="shared" si="162"/>
        <v>7603.0725215905113</v>
      </c>
      <c r="CT83" s="295">
        <f t="shared" si="163"/>
        <v>7603.0725215905113</v>
      </c>
      <c r="CU83" s="303"/>
      <c r="CV83" s="303"/>
    </row>
    <row r="84" spans="1:100" s="153" customFormat="1" ht="15" customHeight="1" x14ac:dyDescent="0.3">
      <c r="A84" s="174">
        <v>61328</v>
      </c>
      <c r="B84" s="176" t="s">
        <v>273</v>
      </c>
      <c r="C84" s="175">
        <f>VLOOKUP($A84,'Fed Bs Rt+IME+GME+VBP+RAA+HAC'!$B$5:$AC$88,15,FALSE)</f>
        <v>6594.24</v>
      </c>
      <c r="D84" s="175">
        <f>VLOOKUP($A84,'Fed Bs Rt+IME+GME+VBP+RAA+HAC'!$B$5:$AC$88,21,FALSE)</f>
        <v>0</v>
      </c>
      <c r="E84" s="175">
        <f>VLOOKUP($A84,'Fed Bs Rt+IME+GME+VBP+RAA+HAC'!$B$5:$AC$88,25,FALSE)</f>
        <v>0</v>
      </c>
      <c r="F84" s="175">
        <f>VLOOKUP($A84,'Fed Bs Rt+IME+GME+VBP+RAA+HAC'!$B$5:$AC$88,23,FALSE)</f>
        <v>0</v>
      </c>
      <c r="G84" s="175">
        <f>VLOOKUP($A84,'Fed Bs Rt+IME+GME+VBP+RAA+HAC'!$B$5:$AC$88,28,FALSE)</f>
        <v>0</v>
      </c>
      <c r="H84" s="175">
        <f t="shared" si="128"/>
        <v>0</v>
      </c>
      <c r="I84" s="175">
        <f>VLOOKUP($A84,'Fed Bs Rt+IME+GME+VBP+RAA+HAC'!$B$5:$AC$88,16,FALSE)</f>
        <v>0</v>
      </c>
      <c r="J84" s="175">
        <f t="shared" si="129"/>
        <v>1648.56</v>
      </c>
      <c r="K84" s="175">
        <f t="shared" si="93"/>
        <v>0</v>
      </c>
      <c r="L84" s="294">
        <f>IF(OR(J84&gt;0,K84&gt;0,M84&gt;0),0,IF(VLOOKUP(A84,'Low Discharge'!A:C,3,FALSE)&lt;=L$3,L$1*C84,IF(VLOOKUP(A84,'Low Discharge'!A:C,3,FALSE)&gt;=L$2,0,(VLOOKUP(A84,'Low Discharge'!A:C,3,FALSE)-L$2)/(L$3-L$2)*L$1*C84)))</f>
        <v>0</v>
      </c>
      <c r="M84" s="170">
        <f>IF(VLOOKUP($A84,Characteristics!$A:$E,3,FALSE)=2,M$1*C84,0)</f>
        <v>0</v>
      </c>
      <c r="N84" s="170">
        <f>IF(VLOOKUP($A84,Characteristics!$A:$E,5,FALSE)&gt;=N$2,N$1*C84,IF(VLOOKUP($A84,Characteristics!$A:$E,5,FALSE)&lt;=N$3,0,(VLOOKUP($A84,Characteristics!$A:$E,5,FALSE)-N$3)/(N$2-N$3)*N$1*C84))</f>
        <v>0</v>
      </c>
      <c r="O84" s="170">
        <f>IF(VLOOKUP($A84,Characteristics!$A:$F,6,FALSE)&lt;=O$3,O$1*C84,IF(VLOOKUP($A84,Characteristics!$A:$F,6,FALSE)&gt;=O$2,0,(VLOOKUP($A84,Characteristics!$A:$F,6,FALSE)-O$2)/(O$3-O$2)*O$1*C84))</f>
        <v>1158.7306410624844</v>
      </c>
      <c r="P84" s="175">
        <f t="shared" si="94"/>
        <v>9401.5306410624835</v>
      </c>
      <c r="Q84" s="175"/>
      <c r="R84" s="85">
        <v>6736.64</v>
      </c>
      <c r="S84" s="86">
        <f t="shared" si="130"/>
        <v>6905.0559999999996</v>
      </c>
      <c r="T84" s="85">
        <f t="shared" si="95"/>
        <v>206057.04691199999</v>
      </c>
      <c r="U84" s="305">
        <v>30</v>
      </c>
      <c r="V84" s="89">
        <v>0.99471578947368422</v>
      </c>
      <c r="W84" s="90">
        <f t="shared" si="96"/>
        <v>280555.52921656502</v>
      </c>
      <c r="X84" s="98" t="s">
        <v>5</v>
      </c>
      <c r="Y84" s="85">
        <f t="shared" si="131"/>
        <v>6905.0559999999996</v>
      </c>
      <c r="Z84" s="85">
        <f t="shared" si="132"/>
        <v>6214.5504000000001</v>
      </c>
      <c r="AA84" s="85">
        <f t="shared" si="133"/>
        <v>7595.5616</v>
      </c>
      <c r="AB84" s="230"/>
      <c r="AC84" s="101"/>
      <c r="AD84" s="85">
        <f t="shared" si="134"/>
        <v>7838.3732219322146</v>
      </c>
      <c r="AE84" s="85">
        <f t="shared" si="97"/>
        <v>233908.60822931066</v>
      </c>
      <c r="AF84" s="92">
        <f t="shared" si="135"/>
        <v>0</v>
      </c>
      <c r="AG84" s="92">
        <f t="shared" si="136"/>
        <v>1</v>
      </c>
      <c r="AH84" s="85">
        <f t="shared" si="137"/>
        <v>7595.5616</v>
      </c>
      <c r="AI84" s="85">
        <f t="shared" si="98"/>
        <v>226662.75160320001</v>
      </c>
      <c r="AJ84" s="93">
        <f t="shared" si="99"/>
        <v>280555.52921656502</v>
      </c>
      <c r="AK84" s="93">
        <f t="shared" si="100"/>
        <v>206057.04691199999</v>
      </c>
      <c r="AL84" s="94">
        <f t="shared" si="138"/>
        <v>0</v>
      </c>
      <c r="AM84" s="95"/>
      <c r="AN84" s="85">
        <f t="shared" si="139"/>
        <v>7814.388474166466</v>
      </c>
      <c r="AO84" s="85">
        <f t="shared" si="101"/>
        <v>233192.86801003665</v>
      </c>
      <c r="AP84" s="92">
        <f t="shared" si="140"/>
        <v>0</v>
      </c>
      <c r="AQ84" s="92">
        <f t="shared" si="141"/>
        <v>1</v>
      </c>
      <c r="AR84" s="85">
        <f t="shared" si="142"/>
        <v>7595.5616</v>
      </c>
      <c r="AS84" s="85">
        <f t="shared" si="102"/>
        <v>226662.75160320001</v>
      </c>
      <c r="AT84" s="93">
        <f t="shared" si="103"/>
        <v>0</v>
      </c>
      <c r="AU84" s="93">
        <f t="shared" si="104"/>
        <v>-20605.704691200022</v>
      </c>
      <c r="AV84" s="94">
        <f t="shared" si="105"/>
        <v>1</v>
      </c>
      <c r="AW84" s="92">
        <f t="shared" si="164"/>
        <v>1</v>
      </c>
      <c r="AX84" s="95"/>
      <c r="AY84" s="85">
        <f t="shared" si="143"/>
        <v>7595.5616</v>
      </c>
      <c r="AZ84" s="85">
        <f t="shared" si="106"/>
        <v>226662.75160320001</v>
      </c>
      <c r="BA84" s="92">
        <f t="shared" si="144"/>
        <v>0</v>
      </c>
      <c r="BB84" s="92">
        <f t="shared" si="145"/>
        <v>1</v>
      </c>
      <c r="BC84" s="85">
        <f t="shared" si="146"/>
        <v>7595.5616</v>
      </c>
      <c r="BD84" s="85">
        <f t="shared" si="107"/>
        <v>226662.75160320001</v>
      </c>
      <c r="BE84" s="93">
        <f t="shared" si="108"/>
        <v>0</v>
      </c>
      <c r="BF84" s="93">
        <f t="shared" si="109"/>
        <v>-20605.704691200022</v>
      </c>
      <c r="BG84" s="94">
        <f t="shared" si="110"/>
        <v>1</v>
      </c>
      <c r="BH84" s="92">
        <f t="shared" si="111"/>
        <v>0</v>
      </c>
      <c r="BI84" s="95"/>
      <c r="BJ84" s="85">
        <f t="shared" si="147"/>
        <v>7595.5616</v>
      </c>
      <c r="BK84" s="85">
        <f t="shared" si="112"/>
        <v>226662.75160320001</v>
      </c>
      <c r="BL84" s="92">
        <f t="shared" si="148"/>
        <v>0</v>
      </c>
      <c r="BM84" s="92">
        <f t="shared" si="149"/>
        <v>1</v>
      </c>
      <c r="BN84" s="85">
        <f t="shared" si="150"/>
        <v>7595.5616</v>
      </c>
      <c r="BO84" s="85">
        <f t="shared" si="113"/>
        <v>226662.75160320001</v>
      </c>
      <c r="BP84" s="93">
        <f t="shared" si="114"/>
        <v>0</v>
      </c>
      <c r="BQ84" s="93">
        <f t="shared" si="115"/>
        <v>-20605.704691200022</v>
      </c>
      <c r="BR84" s="94">
        <f t="shared" si="116"/>
        <v>1</v>
      </c>
      <c r="BS84" s="92">
        <f t="shared" si="117"/>
        <v>0</v>
      </c>
      <c r="BT84" s="95"/>
      <c r="BU84" s="85">
        <f t="shared" si="151"/>
        <v>7595.5616</v>
      </c>
      <c r="BV84" s="85">
        <f t="shared" si="118"/>
        <v>226662.75160320001</v>
      </c>
      <c r="BW84" s="92">
        <f t="shared" si="152"/>
        <v>0</v>
      </c>
      <c r="BX84" s="92">
        <f t="shared" si="153"/>
        <v>1</v>
      </c>
      <c r="BY84" s="85">
        <f t="shared" si="154"/>
        <v>7595.5616</v>
      </c>
      <c r="BZ84" s="85">
        <f t="shared" si="119"/>
        <v>226662.75160320001</v>
      </c>
      <c r="CA84" s="96">
        <f t="shared" si="120"/>
        <v>0</v>
      </c>
      <c r="CB84" s="96">
        <f t="shared" si="121"/>
        <v>-20605.704691200022</v>
      </c>
      <c r="CC84" s="94">
        <f t="shared" si="122"/>
        <v>1</v>
      </c>
      <c r="CD84" s="92">
        <f t="shared" si="123"/>
        <v>0</v>
      </c>
      <c r="CE84" s="66"/>
      <c r="CF84" s="85">
        <f t="shared" si="124"/>
        <v>7828.1188259987912</v>
      </c>
      <c r="CG84" s="85">
        <f t="shared" si="125"/>
        <v>233602.60194291591</v>
      </c>
      <c r="CH84" s="92">
        <f t="shared" si="155"/>
        <v>0</v>
      </c>
      <c r="CI84" s="92">
        <f t="shared" si="156"/>
        <v>1</v>
      </c>
      <c r="CJ84" s="85">
        <f t="shared" si="157"/>
        <v>7595.5616</v>
      </c>
      <c r="CK84" s="85">
        <f t="shared" si="126"/>
        <v>226662.75160320001</v>
      </c>
      <c r="CL84" s="97">
        <f t="shared" si="127"/>
        <v>1.1000000000000001</v>
      </c>
      <c r="CM84" s="261"/>
      <c r="CN84" s="295">
        <f t="shared" si="158"/>
        <v>7747.47</v>
      </c>
      <c r="CP84" s="85">
        <f t="shared" si="159"/>
        <v>7747.47</v>
      </c>
      <c r="CQ84" s="85">
        <f t="shared" si="160"/>
        <v>6972.723</v>
      </c>
      <c r="CR84" s="85">
        <f t="shared" si="161"/>
        <v>8522.2170000000006</v>
      </c>
      <c r="CS84" s="295">
        <f t="shared" si="162"/>
        <v>7984.6812025187673</v>
      </c>
      <c r="CT84" s="295">
        <f t="shared" si="163"/>
        <v>7984.6812025187673</v>
      </c>
      <c r="CU84" s="303"/>
      <c r="CV84" s="303"/>
    </row>
    <row r="85" spans="1:100" s="153" customFormat="1" ht="15" customHeight="1" x14ac:dyDescent="0.3">
      <c r="A85" s="174">
        <v>61336</v>
      </c>
      <c r="B85" s="176" t="s">
        <v>273</v>
      </c>
      <c r="C85" s="175">
        <f>VLOOKUP($A85,'Fed Bs Rt+IME+GME+VBP+RAA+HAC'!$B$5:$AC$88,15,FALSE)</f>
        <v>6594.24</v>
      </c>
      <c r="D85" s="175">
        <f>VLOOKUP($A85,'Fed Bs Rt+IME+GME+VBP+RAA+HAC'!$B$5:$AC$88,21,FALSE)</f>
        <v>0</v>
      </c>
      <c r="E85" s="175">
        <f>VLOOKUP($A85,'Fed Bs Rt+IME+GME+VBP+RAA+HAC'!$B$5:$AC$88,25,FALSE)</f>
        <v>0</v>
      </c>
      <c r="F85" s="175">
        <f>VLOOKUP($A85,'Fed Bs Rt+IME+GME+VBP+RAA+HAC'!$B$5:$AC$88,23,FALSE)</f>
        <v>0</v>
      </c>
      <c r="G85" s="175">
        <f>VLOOKUP($A85,'Fed Bs Rt+IME+GME+VBP+RAA+HAC'!$B$5:$AC$88,28,FALSE)</f>
        <v>0</v>
      </c>
      <c r="H85" s="175">
        <f t="shared" si="128"/>
        <v>0</v>
      </c>
      <c r="I85" s="175">
        <f>VLOOKUP($A85,'Fed Bs Rt+IME+GME+VBP+RAA+HAC'!$B$5:$AC$88,16,FALSE)</f>
        <v>0</v>
      </c>
      <c r="J85" s="175">
        <f t="shared" si="129"/>
        <v>1648.56</v>
      </c>
      <c r="K85" s="175">
        <f t="shared" si="93"/>
        <v>0</v>
      </c>
      <c r="L85" s="294">
        <f>IF(OR(J85&gt;0,K85&gt;0,M85&gt;0),0,IF(VLOOKUP(A85,'Low Discharge'!A:C,3,FALSE)&lt;=L$3,L$1*C85,IF(VLOOKUP(A85,'Low Discharge'!A:C,3,FALSE)&gt;=L$2,0,(VLOOKUP(A85,'Low Discharge'!A:C,3,FALSE)-L$2)/(L$3-L$2)*L$1*C85)))</f>
        <v>0</v>
      </c>
      <c r="M85" s="170">
        <f>IF(VLOOKUP($A85,Characteristics!$A:$E,3,FALSE)=2,M$1*C85,0)</f>
        <v>0</v>
      </c>
      <c r="N85" s="170">
        <f>IF(VLOOKUP($A85,Characteristics!$A:$E,5,FALSE)&gt;=N$2,N$1*C85,IF(VLOOKUP($A85,Characteristics!$A:$E,5,FALSE)&lt;=N$3,0,(VLOOKUP($A85,Characteristics!$A:$E,5,FALSE)-N$3)/(N$2-N$3)*N$1*C85))</f>
        <v>0</v>
      </c>
      <c r="O85" s="170">
        <f>IF(VLOOKUP($A85,Characteristics!$A:$F,6,FALSE)&lt;=O$3,O$1*C85,IF(VLOOKUP($A85,Characteristics!$A:$F,6,FALSE)&gt;=O$2,0,(VLOOKUP($A85,Characteristics!$A:$F,6,FALSE)-O$2)/(O$3-O$2)*O$1*C85))</f>
        <v>1111.9072649351688</v>
      </c>
      <c r="P85" s="175">
        <f t="shared" si="94"/>
        <v>9354.7072649351685</v>
      </c>
      <c r="Q85" s="175"/>
      <c r="R85" s="85">
        <v>6775.01</v>
      </c>
      <c r="S85" s="86">
        <f t="shared" si="130"/>
        <v>6944.3852499999994</v>
      </c>
      <c r="T85" s="85">
        <f t="shared" si="95"/>
        <v>1303492.06310561</v>
      </c>
      <c r="U85" s="88">
        <v>226.44299999999998</v>
      </c>
      <c r="V85" s="89">
        <v>0.82892585365853655</v>
      </c>
      <c r="W85" s="90">
        <f t="shared" si="96"/>
        <v>1755920.2483069873</v>
      </c>
      <c r="X85" s="98" t="s">
        <v>5</v>
      </c>
      <c r="Y85" s="85">
        <f t="shared" si="131"/>
        <v>6944.3852499999994</v>
      </c>
      <c r="Z85" s="85">
        <f t="shared" si="132"/>
        <v>6249.9467249999998</v>
      </c>
      <c r="AA85" s="85">
        <f t="shared" si="133"/>
        <v>7638.8237749999998</v>
      </c>
      <c r="AB85" s="230"/>
      <c r="AC85" s="101"/>
      <c r="AD85" s="85">
        <f t="shared" si="134"/>
        <v>7799.3349938383972</v>
      </c>
      <c r="AE85" s="85">
        <f t="shared" si="97"/>
        <v>1463969.9406034811</v>
      </c>
      <c r="AF85" s="92">
        <f t="shared" si="135"/>
        <v>0</v>
      </c>
      <c r="AG85" s="92">
        <f t="shared" si="136"/>
        <v>1</v>
      </c>
      <c r="AH85" s="85">
        <f t="shared" si="137"/>
        <v>7638.8237749999998</v>
      </c>
      <c r="AI85" s="85">
        <f t="shared" si="98"/>
        <v>1433841.2694161709</v>
      </c>
      <c r="AJ85" s="93">
        <f t="shared" si="99"/>
        <v>1755920.2483069873</v>
      </c>
      <c r="AK85" s="93">
        <f t="shared" si="100"/>
        <v>1303492.06310561</v>
      </c>
      <c r="AL85" s="94">
        <f t="shared" si="138"/>
        <v>0</v>
      </c>
      <c r="AM85" s="95"/>
      <c r="AN85" s="85">
        <f t="shared" si="139"/>
        <v>7775.4696996923658</v>
      </c>
      <c r="AO85" s="85">
        <f t="shared" si="101"/>
        <v>1459490.318522746</v>
      </c>
      <c r="AP85" s="92">
        <f t="shared" si="140"/>
        <v>0</v>
      </c>
      <c r="AQ85" s="92">
        <f t="shared" si="141"/>
        <v>1</v>
      </c>
      <c r="AR85" s="85">
        <f t="shared" si="142"/>
        <v>7638.8237749999998</v>
      </c>
      <c r="AS85" s="85">
        <f t="shared" si="102"/>
        <v>1433841.2694161709</v>
      </c>
      <c r="AT85" s="93">
        <f t="shared" si="103"/>
        <v>0</v>
      </c>
      <c r="AU85" s="93">
        <f t="shared" si="104"/>
        <v>-130349.20631056093</v>
      </c>
      <c r="AV85" s="94">
        <f t="shared" si="105"/>
        <v>1</v>
      </c>
      <c r="AW85" s="92">
        <f t="shared" si="164"/>
        <v>1</v>
      </c>
      <c r="AX85" s="95"/>
      <c r="AY85" s="85">
        <f t="shared" si="143"/>
        <v>7638.8237749999998</v>
      </c>
      <c r="AZ85" s="85">
        <f t="shared" si="106"/>
        <v>1433841.2694161709</v>
      </c>
      <c r="BA85" s="92">
        <f t="shared" si="144"/>
        <v>0</v>
      </c>
      <c r="BB85" s="92">
        <f t="shared" si="145"/>
        <v>1</v>
      </c>
      <c r="BC85" s="85">
        <f t="shared" si="146"/>
        <v>7638.8237749999998</v>
      </c>
      <c r="BD85" s="85">
        <f t="shared" si="107"/>
        <v>1433841.2694161709</v>
      </c>
      <c r="BE85" s="93">
        <f t="shared" si="108"/>
        <v>0</v>
      </c>
      <c r="BF85" s="93">
        <f t="shared" si="109"/>
        <v>-130349.20631056093</v>
      </c>
      <c r="BG85" s="94">
        <f t="shared" si="110"/>
        <v>1</v>
      </c>
      <c r="BH85" s="92">
        <f t="shared" si="111"/>
        <v>0</v>
      </c>
      <c r="BI85" s="95"/>
      <c r="BJ85" s="85">
        <f t="shared" si="147"/>
        <v>7638.8237749999998</v>
      </c>
      <c r="BK85" s="85">
        <f t="shared" si="112"/>
        <v>1433841.2694161709</v>
      </c>
      <c r="BL85" s="92">
        <f t="shared" si="148"/>
        <v>0</v>
      </c>
      <c r="BM85" s="92">
        <f t="shared" si="149"/>
        <v>1</v>
      </c>
      <c r="BN85" s="85">
        <f t="shared" si="150"/>
        <v>7638.8237749999998</v>
      </c>
      <c r="BO85" s="85">
        <f t="shared" si="113"/>
        <v>1433841.2694161709</v>
      </c>
      <c r="BP85" s="93">
        <f t="shared" si="114"/>
        <v>0</v>
      </c>
      <c r="BQ85" s="93">
        <f t="shared" si="115"/>
        <v>-130349.20631056093</v>
      </c>
      <c r="BR85" s="94">
        <f t="shared" si="116"/>
        <v>1</v>
      </c>
      <c r="BS85" s="92">
        <f t="shared" si="117"/>
        <v>0</v>
      </c>
      <c r="BT85" s="95"/>
      <c r="BU85" s="85">
        <f t="shared" si="151"/>
        <v>7638.8237749999998</v>
      </c>
      <c r="BV85" s="85">
        <f t="shared" si="118"/>
        <v>1433841.2694161709</v>
      </c>
      <c r="BW85" s="92">
        <f t="shared" si="152"/>
        <v>0</v>
      </c>
      <c r="BX85" s="92">
        <f t="shared" si="153"/>
        <v>1</v>
      </c>
      <c r="BY85" s="85">
        <f t="shared" si="154"/>
        <v>7638.8237749999998</v>
      </c>
      <c r="BZ85" s="85">
        <f t="shared" si="119"/>
        <v>1433841.2694161709</v>
      </c>
      <c r="CA85" s="96">
        <f t="shared" si="120"/>
        <v>0</v>
      </c>
      <c r="CB85" s="96">
        <f t="shared" si="121"/>
        <v>-130349.20631056093</v>
      </c>
      <c r="CC85" s="94">
        <f t="shared" si="122"/>
        <v>1</v>
      </c>
      <c r="CD85" s="92">
        <f t="shared" si="123"/>
        <v>0</v>
      </c>
      <c r="CE85" s="66"/>
      <c r="CF85" s="85">
        <f t="shared" si="124"/>
        <v>7789.1316688907618</v>
      </c>
      <c r="CG85" s="85">
        <f t="shared" si="125"/>
        <v>1462054.7310337748</v>
      </c>
      <c r="CH85" s="92">
        <f t="shared" si="155"/>
        <v>0</v>
      </c>
      <c r="CI85" s="92">
        <f t="shared" si="156"/>
        <v>1</v>
      </c>
      <c r="CJ85" s="85">
        <f t="shared" si="157"/>
        <v>7638.8237749999998</v>
      </c>
      <c r="CK85" s="85">
        <f t="shared" si="126"/>
        <v>1433841.2694161709</v>
      </c>
      <c r="CL85" s="97">
        <f t="shared" si="127"/>
        <v>1.1000000000000001</v>
      </c>
      <c r="CM85" s="261"/>
      <c r="CN85" s="295">
        <f t="shared" si="158"/>
        <v>7791.6</v>
      </c>
      <c r="CP85" s="85">
        <f t="shared" si="159"/>
        <v>7791.6</v>
      </c>
      <c r="CQ85" s="85">
        <f t="shared" si="160"/>
        <v>7012.4400000000005</v>
      </c>
      <c r="CR85" s="85">
        <f t="shared" si="161"/>
        <v>8570.76</v>
      </c>
      <c r="CS85" s="295">
        <f t="shared" si="162"/>
        <v>7944.9143022685776</v>
      </c>
      <c r="CT85" s="295">
        <f t="shared" si="163"/>
        <v>7944.9143022685776</v>
      </c>
      <c r="CU85" s="303"/>
      <c r="CV85" s="303"/>
    </row>
    <row r="86" spans="1:100" s="153" customFormat="1" ht="15" customHeight="1" x14ac:dyDescent="0.3">
      <c r="A86" s="174">
        <v>61343</v>
      </c>
      <c r="B86" s="176" t="s">
        <v>273</v>
      </c>
      <c r="C86" s="175">
        <f>VLOOKUP($A86,'Fed Bs Rt+IME+GME+VBP+RAA+HAC'!$B$5:$AC$88,15,FALSE)</f>
        <v>6594.24</v>
      </c>
      <c r="D86" s="175">
        <f>VLOOKUP($A86,'Fed Bs Rt+IME+GME+VBP+RAA+HAC'!$B$5:$AC$88,21,FALSE)</f>
        <v>0</v>
      </c>
      <c r="E86" s="175">
        <f>VLOOKUP($A86,'Fed Bs Rt+IME+GME+VBP+RAA+HAC'!$B$5:$AC$88,25,FALSE)</f>
        <v>0</v>
      </c>
      <c r="F86" s="175">
        <f>VLOOKUP($A86,'Fed Bs Rt+IME+GME+VBP+RAA+HAC'!$B$5:$AC$88,23,FALSE)</f>
        <v>0</v>
      </c>
      <c r="G86" s="175">
        <f>VLOOKUP($A86,'Fed Bs Rt+IME+GME+VBP+RAA+HAC'!$B$5:$AC$88,28,FALSE)</f>
        <v>0</v>
      </c>
      <c r="H86" s="175">
        <f t="shared" si="128"/>
        <v>0</v>
      </c>
      <c r="I86" s="175">
        <f>VLOOKUP($A86,'Fed Bs Rt+IME+GME+VBP+RAA+HAC'!$B$5:$AC$88,16,FALSE)</f>
        <v>0</v>
      </c>
      <c r="J86" s="175">
        <f t="shared" si="129"/>
        <v>1648.56</v>
      </c>
      <c r="K86" s="175">
        <f t="shared" si="93"/>
        <v>0</v>
      </c>
      <c r="L86" s="294">
        <f>IF(OR(J86&gt;0,K86&gt;0,M86&gt;0),0,IF(VLOOKUP(A86,'Low Discharge'!A:C,3,FALSE)&lt;=L$3,L$1*C86,IF(VLOOKUP(A86,'Low Discharge'!A:C,3,FALSE)&gt;=L$2,0,(VLOOKUP(A86,'Low Discharge'!A:C,3,FALSE)-L$2)/(L$3-L$2)*L$1*C86)))</f>
        <v>0</v>
      </c>
      <c r="M86" s="170">
        <f>IF(VLOOKUP($A86,Characteristics!$A:$E,3,FALSE)=2,M$1*C86,0)</f>
        <v>0</v>
      </c>
      <c r="N86" s="170">
        <f>IF(VLOOKUP($A86,Characteristics!$A:$E,5,FALSE)&gt;=N$2,N$1*C86,IF(VLOOKUP($A86,Characteristics!$A:$E,5,FALSE)&lt;=N$3,0,(VLOOKUP($A86,Characteristics!$A:$E,5,FALSE)-N$3)/(N$2-N$3)*N$1*C86))</f>
        <v>0</v>
      </c>
      <c r="O86" s="170">
        <f>IF(VLOOKUP($A86,Characteristics!$A:$F,6,FALSE)&lt;=O$3,O$1*C86,IF(VLOOKUP($A86,Characteristics!$A:$F,6,FALSE)&gt;=O$2,0,(VLOOKUP($A86,Characteristics!$A:$F,6,FALSE)-O$2)/(O$3-O$2)*O$1*C86))</f>
        <v>0</v>
      </c>
      <c r="P86" s="175">
        <f t="shared" si="94"/>
        <v>8242.7999999999993</v>
      </c>
      <c r="Q86" s="175"/>
      <c r="R86" s="85">
        <v>6736.64</v>
      </c>
      <c r="S86" s="86">
        <f t="shared" si="130"/>
        <v>6905.0559999999996</v>
      </c>
      <c r="T86" s="85">
        <f t="shared" si="95"/>
        <v>136692.488576</v>
      </c>
      <c r="U86" s="305">
        <v>30</v>
      </c>
      <c r="V86" s="89">
        <v>0.65986666666666671</v>
      </c>
      <c r="W86" s="90">
        <f t="shared" si="96"/>
        <v>163174.4688</v>
      </c>
      <c r="X86" s="92"/>
      <c r="Y86" s="85">
        <f t="shared" si="131"/>
        <v>6905.0559999999996</v>
      </c>
      <c r="Z86" s="85">
        <f t="shared" si="132"/>
        <v>6214.5504000000001</v>
      </c>
      <c r="AA86" s="85">
        <f t="shared" si="133"/>
        <v>7595.5616</v>
      </c>
      <c r="AB86" s="230"/>
      <c r="AC86" s="101"/>
      <c r="AD86" s="85">
        <f t="shared" si="134"/>
        <v>6872.3004009101596</v>
      </c>
      <c r="AE86" s="85">
        <f t="shared" si="97"/>
        <v>136044.05873641753</v>
      </c>
      <c r="AF86" s="92">
        <f t="shared" si="135"/>
        <v>0</v>
      </c>
      <c r="AG86" s="92">
        <f t="shared" si="136"/>
        <v>0</v>
      </c>
      <c r="AH86" s="85">
        <f t="shared" si="137"/>
        <v>6872.3004009101596</v>
      </c>
      <c r="AI86" s="85">
        <f t="shared" si="98"/>
        <v>136044.05873641753</v>
      </c>
      <c r="AJ86" s="93">
        <f t="shared" si="99"/>
        <v>163174.4688</v>
      </c>
      <c r="AK86" s="93">
        <f t="shared" si="100"/>
        <v>136692.488576</v>
      </c>
      <c r="AL86" s="94">
        <f t="shared" si="138"/>
        <v>0</v>
      </c>
      <c r="AM86" s="95"/>
      <c r="AN86" s="85">
        <f t="shared" si="139"/>
        <v>6851.2717528706553</v>
      </c>
      <c r="AO86" s="85">
        <f t="shared" si="101"/>
        <v>135627.7756198275</v>
      </c>
      <c r="AP86" s="92">
        <f t="shared" si="140"/>
        <v>0</v>
      </c>
      <c r="AQ86" s="92">
        <f t="shared" si="141"/>
        <v>0</v>
      </c>
      <c r="AR86" s="85">
        <f t="shared" si="142"/>
        <v>6851.2717528706553</v>
      </c>
      <c r="AS86" s="85">
        <f t="shared" si="102"/>
        <v>135627.7756198275</v>
      </c>
      <c r="AT86" s="93">
        <f t="shared" si="103"/>
        <v>163174.4688</v>
      </c>
      <c r="AU86" s="93">
        <f t="shared" si="104"/>
        <v>136692.488576</v>
      </c>
      <c r="AV86" s="94">
        <f t="shared" si="105"/>
        <v>0</v>
      </c>
      <c r="AW86" s="92">
        <f t="shared" si="164"/>
        <v>0</v>
      </c>
      <c r="AX86" s="95"/>
      <c r="AY86" s="85">
        <f t="shared" si="143"/>
        <v>6863.3098505384096</v>
      </c>
      <c r="AZ86" s="85">
        <f t="shared" si="106"/>
        <v>135866.08180125838</v>
      </c>
      <c r="BA86" s="92">
        <f t="shared" si="144"/>
        <v>0</v>
      </c>
      <c r="BB86" s="92">
        <f t="shared" si="145"/>
        <v>0</v>
      </c>
      <c r="BC86" s="85">
        <f t="shared" si="146"/>
        <v>6863.3098505384096</v>
      </c>
      <c r="BD86" s="85">
        <f t="shared" si="107"/>
        <v>135866.08180125838</v>
      </c>
      <c r="BE86" s="93">
        <f t="shared" si="108"/>
        <v>163174.4688</v>
      </c>
      <c r="BF86" s="93">
        <f t="shared" si="109"/>
        <v>136692.488576</v>
      </c>
      <c r="BG86" s="94">
        <f t="shared" si="110"/>
        <v>0</v>
      </c>
      <c r="BH86" s="92">
        <f t="shared" si="111"/>
        <v>0</v>
      </c>
      <c r="BI86" s="95"/>
      <c r="BJ86" s="85">
        <f t="shared" si="147"/>
        <v>6863.3098505384096</v>
      </c>
      <c r="BK86" s="85">
        <f t="shared" si="112"/>
        <v>135866.08180125838</v>
      </c>
      <c r="BL86" s="92">
        <f t="shared" si="148"/>
        <v>0</v>
      </c>
      <c r="BM86" s="92">
        <f t="shared" si="149"/>
        <v>0</v>
      </c>
      <c r="BN86" s="85">
        <f t="shared" si="150"/>
        <v>6863.3098505384096</v>
      </c>
      <c r="BO86" s="85">
        <f t="shared" si="113"/>
        <v>135866.08180125838</v>
      </c>
      <c r="BP86" s="93">
        <f t="shared" si="114"/>
        <v>163174.4688</v>
      </c>
      <c r="BQ86" s="93">
        <f t="shared" si="115"/>
        <v>136692.488576</v>
      </c>
      <c r="BR86" s="94">
        <f t="shared" si="116"/>
        <v>0</v>
      </c>
      <c r="BS86" s="92">
        <f t="shared" si="117"/>
        <v>0</v>
      </c>
      <c r="BT86" s="95"/>
      <c r="BU86" s="85">
        <f t="shared" si="151"/>
        <v>6863.3098505384096</v>
      </c>
      <c r="BV86" s="85">
        <f t="shared" si="118"/>
        <v>135866.08180125838</v>
      </c>
      <c r="BW86" s="92">
        <f t="shared" si="152"/>
        <v>0</v>
      </c>
      <c r="BX86" s="92">
        <f t="shared" si="153"/>
        <v>0</v>
      </c>
      <c r="BY86" s="85">
        <f t="shared" si="154"/>
        <v>6863.3098505384096</v>
      </c>
      <c r="BZ86" s="85">
        <f t="shared" si="119"/>
        <v>135866.08180125838</v>
      </c>
      <c r="CA86" s="96">
        <f t="shared" si="120"/>
        <v>163174.4688</v>
      </c>
      <c r="CB86" s="96">
        <f t="shared" si="121"/>
        <v>136692.488576</v>
      </c>
      <c r="CC86" s="94">
        <f t="shared" si="122"/>
        <v>0</v>
      </c>
      <c r="CD86" s="92">
        <f t="shared" si="123"/>
        <v>0</v>
      </c>
      <c r="CE86" s="66"/>
      <c r="CF86" s="85">
        <f t="shared" si="124"/>
        <v>6863.3098505384096</v>
      </c>
      <c r="CG86" s="85">
        <f t="shared" si="125"/>
        <v>135866.08180125838</v>
      </c>
      <c r="CH86" s="92">
        <f t="shared" si="155"/>
        <v>0</v>
      </c>
      <c r="CI86" s="92">
        <f t="shared" si="156"/>
        <v>0</v>
      </c>
      <c r="CJ86" s="85">
        <f t="shared" si="157"/>
        <v>6863.3098505384096</v>
      </c>
      <c r="CK86" s="85">
        <f t="shared" si="126"/>
        <v>135866.08180125838</v>
      </c>
      <c r="CL86" s="97">
        <f t="shared" si="127"/>
        <v>0.99395426344672799</v>
      </c>
      <c r="CM86" s="261"/>
      <c r="CN86" s="295">
        <f t="shared" si="158"/>
        <v>7000.58</v>
      </c>
      <c r="CP86" s="85">
        <f t="shared" si="159"/>
        <v>7000.58</v>
      </c>
      <c r="CQ86" s="85">
        <f t="shared" si="160"/>
        <v>6300.5219999999999</v>
      </c>
      <c r="CR86" s="85">
        <f t="shared" si="161"/>
        <v>7700.6380000000008</v>
      </c>
      <c r="CS86" s="295">
        <f t="shared" si="162"/>
        <v>7000.5760475491779</v>
      </c>
      <c r="CT86" s="295">
        <f t="shared" si="163"/>
        <v>7000.5760475491779</v>
      </c>
      <c r="CU86" s="303"/>
      <c r="CV86" s="303"/>
    </row>
    <row r="87" spans="1:100" s="153" customFormat="1" ht="15" customHeight="1" x14ac:dyDescent="0.3">
      <c r="A87" s="174">
        <v>61344</v>
      </c>
      <c r="B87" s="176" t="s">
        <v>273</v>
      </c>
      <c r="C87" s="175">
        <f>VLOOKUP($A87,'Fed Bs Rt+IME+GME+VBP+RAA+HAC'!$B$5:$AC$88,15,FALSE)</f>
        <v>6594.24</v>
      </c>
      <c r="D87" s="175">
        <f>VLOOKUP($A87,'Fed Bs Rt+IME+GME+VBP+RAA+HAC'!$B$5:$AC$88,21,FALSE)</f>
        <v>0</v>
      </c>
      <c r="E87" s="175">
        <f>VLOOKUP($A87,'Fed Bs Rt+IME+GME+VBP+RAA+HAC'!$B$5:$AC$88,25,FALSE)</f>
        <v>0</v>
      </c>
      <c r="F87" s="175">
        <f>VLOOKUP($A87,'Fed Bs Rt+IME+GME+VBP+RAA+HAC'!$B$5:$AC$88,23,FALSE)</f>
        <v>0</v>
      </c>
      <c r="G87" s="175">
        <f>VLOOKUP($A87,'Fed Bs Rt+IME+GME+VBP+RAA+HAC'!$B$5:$AC$88,28,FALSE)</f>
        <v>0</v>
      </c>
      <c r="H87" s="175">
        <f t="shared" si="128"/>
        <v>0</v>
      </c>
      <c r="I87" s="175">
        <f>VLOOKUP($A87,'Fed Bs Rt+IME+GME+VBP+RAA+HAC'!$B$5:$AC$88,16,FALSE)</f>
        <v>0</v>
      </c>
      <c r="J87" s="175">
        <f t="shared" si="129"/>
        <v>1648.56</v>
      </c>
      <c r="K87" s="175">
        <f t="shared" si="93"/>
        <v>0</v>
      </c>
      <c r="L87" s="294">
        <f>IF(OR(J87&gt;0,K87&gt;0,M87&gt;0),0,IF(VLOOKUP(A87,'Low Discharge'!A:C,3,FALSE)&lt;=L$3,L$1*C87,IF(VLOOKUP(A87,'Low Discharge'!A:C,3,FALSE)&gt;=L$2,0,(VLOOKUP(A87,'Low Discharge'!A:C,3,FALSE)-L$2)/(L$3-L$2)*L$1*C87)))</f>
        <v>0</v>
      </c>
      <c r="M87" s="170">
        <f>IF(VLOOKUP($A87,Characteristics!$A:$E,3,FALSE)=2,M$1*C87,0)</f>
        <v>0</v>
      </c>
      <c r="N87" s="170">
        <f>IF(VLOOKUP($A87,Characteristics!$A:$E,5,FALSE)&gt;=N$2,N$1*C87,IF(VLOOKUP($A87,Characteristics!$A:$E,5,FALSE)&lt;=N$3,0,(VLOOKUP($A87,Characteristics!$A:$E,5,FALSE)-N$3)/(N$2-N$3)*N$1*C87))</f>
        <v>0</v>
      </c>
      <c r="O87" s="170">
        <f>IF(VLOOKUP($A87,Characteristics!$A:$F,6,FALSE)&lt;=O$3,O$1*C87,IF(VLOOKUP($A87,Characteristics!$A:$F,6,FALSE)&gt;=O$2,0,(VLOOKUP($A87,Characteristics!$A:$F,6,FALSE)-O$2)/(O$3-O$2)*O$1*C87))</f>
        <v>0</v>
      </c>
      <c r="P87" s="175">
        <f t="shared" si="94"/>
        <v>8242.7999999999993</v>
      </c>
      <c r="Q87" s="175"/>
      <c r="R87" s="85">
        <v>6736.64</v>
      </c>
      <c r="S87" s="86">
        <f t="shared" si="130"/>
        <v>6905.0559999999996</v>
      </c>
      <c r="T87" s="85">
        <f t="shared" si="95"/>
        <v>3063359.4316279446</v>
      </c>
      <c r="U87" s="88">
        <v>438.52620000000002</v>
      </c>
      <c r="V87" s="89">
        <v>1.0116614609571788</v>
      </c>
      <c r="W87" s="90">
        <f t="shared" si="96"/>
        <v>3656836.2549156477</v>
      </c>
      <c r="X87" s="98" t="s">
        <v>5</v>
      </c>
      <c r="Y87" s="85">
        <f t="shared" si="131"/>
        <v>6905.0559999999996</v>
      </c>
      <c r="Z87" s="85">
        <f t="shared" si="132"/>
        <v>6214.5504000000001</v>
      </c>
      <c r="AA87" s="85">
        <f t="shared" si="133"/>
        <v>7595.5616</v>
      </c>
      <c r="AB87" s="230"/>
      <c r="AC87" s="101"/>
      <c r="AD87" s="85">
        <f t="shared" si="134"/>
        <v>6872.3004009101596</v>
      </c>
      <c r="AE87" s="85">
        <f t="shared" si="97"/>
        <v>3048827.7358081741</v>
      </c>
      <c r="AF87" s="92">
        <f t="shared" si="135"/>
        <v>0</v>
      </c>
      <c r="AG87" s="92">
        <f t="shared" si="136"/>
        <v>0</v>
      </c>
      <c r="AH87" s="85">
        <f t="shared" si="137"/>
        <v>6872.3004009101596</v>
      </c>
      <c r="AI87" s="85">
        <f t="shared" si="98"/>
        <v>3048827.7358081741</v>
      </c>
      <c r="AJ87" s="93">
        <f t="shared" si="99"/>
        <v>3656836.2549156477</v>
      </c>
      <c r="AK87" s="93">
        <f>IF(OR(AND(AF87=1,AI$90&gt;$T$90),AND(AG87=1,AI$90&lt;$T$90)),$T87-AI87,$T87)</f>
        <v>3063359.4316279446</v>
      </c>
      <c r="AL87" s="94">
        <f t="shared" si="138"/>
        <v>0</v>
      </c>
      <c r="AM87" s="95"/>
      <c r="AN87" s="85">
        <f t="shared" si="139"/>
        <v>6851.2717528706553</v>
      </c>
      <c r="AO87" s="85">
        <f t="shared" si="101"/>
        <v>3039498.585210959</v>
      </c>
      <c r="AP87" s="92">
        <f t="shared" si="140"/>
        <v>0</v>
      </c>
      <c r="AQ87" s="92">
        <f t="shared" si="141"/>
        <v>0</v>
      </c>
      <c r="AR87" s="85">
        <f t="shared" si="142"/>
        <v>6851.2717528706553</v>
      </c>
      <c r="AS87" s="85">
        <f t="shared" si="102"/>
        <v>3039498.585210959</v>
      </c>
      <c r="AT87" s="93">
        <f t="shared" si="103"/>
        <v>3656836.2549156477</v>
      </c>
      <c r="AU87" s="93">
        <f t="shared" si="104"/>
        <v>3063359.4316279446</v>
      </c>
      <c r="AV87" s="94">
        <f t="shared" si="105"/>
        <v>0</v>
      </c>
      <c r="AW87" s="92">
        <f t="shared" si="164"/>
        <v>0</v>
      </c>
      <c r="AX87" s="95"/>
      <c r="AY87" s="85">
        <f t="shared" si="143"/>
        <v>6863.3098505384096</v>
      </c>
      <c r="AZ87" s="85">
        <f t="shared" si="106"/>
        <v>3044839.1675363411</v>
      </c>
      <c r="BA87" s="92">
        <f t="shared" si="144"/>
        <v>0</v>
      </c>
      <c r="BB87" s="92">
        <f t="shared" si="145"/>
        <v>0</v>
      </c>
      <c r="BC87" s="85">
        <f t="shared" si="146"/>
        <v>6863.3098505384096</v>
      </c>
      <c r="BD87" s="85">
        <f t="shared" si="107"/>
        <v>3044839.1675363411</v>
      </c>
      <c r="BE87" s="93">
        <f t="shared" si="108"/>
        <v>3656836.2549156477</v>
      </c>
      <c r="BF87" s="93">
        <f t="shared" si="109"/>
        <v>3063359.4316279446</v>
      </c>
      <c r="BG87" s="94">
        <f t="shared" si="110"/>
        <v>0</v>
      </c>
      <c r="BH87" s="92">
        <f t="shared" si="111"/>
        <v>0</v>
      </c>
      <c r="BI87" s="95"/>
      <c r="BJ87" s="85">
        <f t="shared" si="147"/>
        <v>6863.3098505384096</v>
      </c>
      <c r="BK87" s="85">
        <f t="shared" si="112"/>
        <v>3044839.1675363411</v>
      </c>
      <c r="BL87" s="92">
        <f t="shared" si="148"/>
        <v>0</v>
      </c>
      <c r="BM87" s="92">
        <f t="shared" si="149"/>
        <v>0</v>
      </c>
      <c r="BN87" s="85">
        <f t="shared" si="150"/>
        <v>6863.3098505384096</v>
      </c>
      <c r="BO87" s="85">
        <f t="shared" si="113"/>
        <v>3044839.1675363411</v>
      </c>
      <c r="BP87" s="93">
        <f t="shared" si="114"/>
        <v>3656836.2549156477</v>
      </c>
      <c r="BQ87" s="93">
        <f t="shared" si="115"/>
        <v>3063359.4316279446</v>
      </c>
      <c r="BR87" s="94">
        <f t="shared" si="116"/>
        <v>0</v>
      </c>
      <c r="BS87" s="92">
        <f t="shared" si="117"/>
        <v>0</v>
      </c>
      <c r="BT87" s="95"/>
      <c r="BU87" s="85">
        <f t="shared" si="151"/>
        <v>6863.3098505384096</v>
      </c>
      <c r="BV87" s="85">
        <f t="shared" si="118"/>
        <v>3044839.1675363411</v>
      </c>
      <c r="BW87" s="92">
        <f t="shared" si="152"/>
        <v>0</v>
      </c>
      <c r="BX87" s="92">
        <f t="shared" si="153"/>
        <v>0</v>
      </c>
      <c r="BY87" s="85">
        <f t="shared" si="154"/>
        <v>6863.3098505384096</v>
      </c>
      <c r="BZ87" s="85">
        <f t="shared" si="119"/>
        <v>3044839.1675363411</v>
      </c>
      <c r="CA87" s="96">
        <f t="shared" si="120"/>
        <v>3656836.2549156477</v>
      </c>
      <c r="CB87" s="96">
        <f t="shared" si="121"/>
        <v>3063359.4316279446</v>
      </c>
      <c r="CC87" s="94">
        <f t="shared" si="122"/>
        <v>0</v>
      </c>
      <c r="CD87" s="92">
        <f t="shared" si="123"/>
        <v>0</v>
      </c>
      <c r="CE87" s="66"/>
      <c r="CF87" s="85">
        <f t="shared" si="124"/>
        <v>6863.3098505384096</v>
      </c>
      <c r="CG87" s="85">
        <f t="shared" si="125"/>
        <v>3044839.1675363411</v>
      </c>
      <c r="CH87" s="92">
        <f t="shared" si="155"/>
        <v>0</v>
      </c>
      <c r="CI87" s="92">
        <f t="shared" si="156"/>
        <v>0</v>
      </c>
      <c r="CJ87" s="85">
        <f t="shared" si="157"/>
        <v>6863.3098505384096</v>
      </c>
      <c r="CK87" s="85">
        <f t="shared" si="126"/>
        <v>3044839.1675363411</v>
      </c>
      <c r="CL87" s="97">
        <f t="shared" si="127"/>
        <v>0.99395426344672799</v>
      </c>
      <c r="CM87" s="261"/>
      <c r="CN87" s="295">
        <f t="shared" si="158"/>
        <v>7000.58</v>
      </c>
      <c r="CP87" s="85">
        <f t="shared" si="159"/>
        <v>7000.58</v>
      </c>
      <c r="CQ87" s="85">
        <f t="shared" si="160"/>
        <v>6300.5219999999999</v>
      </c>
      <c r="CR87" s="85">
        <f t="shared" si="161"/>
        <v>7700.6380000000008</v>
      </c>
      <c r="CS87" s="295">
        <f t="shared" si="162"/>
        <v>7000.5760475491779</v>
      </c>
      <c r="CT87" s="295">
        <f t="shared" si="163"/>
        <v>7000.5760475491779</v>
      </c>
      <c r="CU87" s="303"/>
      <c r="CV87" s="303"/>
    </row>
    <row r="88" spans="1:100" s="153" customFormat="1" ht="15" customHeight="1" x14ac:dyDescent="0.3">
      <c r="A88" s="174">
        <v>63301</v>
      </c>
      <c r="B88" s="176" t="s">
        <v>274</v>
      </c>
      <c r="C88" s="175">
        <f>VLOOKUP($A88,'Fed Bs Rt+IME+GME+VBP+RAA+HAC'!$B$5:$AC$88,15,FALSE)</f>
        <v>6594.24</v>
      </c>
      <c r="D88" s="224">
        <f>VLOOKUP($A88,'Fed Bs Rt+IME+GME+VBP+RAA+HAC'!$B$5:$AC$88,21,FALSE)</f>
        <v>1840.9767768255931</v>
      </c>
      <c r="E88" s="175">
        <f>VLOOKUP($A88,'Fed Bs Rt+IME+GME+VBP+RAA+HAC'!$B$5:$AC$88,25,FALSE)</f>
        <v>0</v>
      </c>
      <c r="F88" s="175">
        <f>VLOOKUP($A88,'Fed Bs Rt+IME+GME+VBP+RAA+HAC'!$B$5:$AC$88,23,FALSE)</f>
        <v>0</v>
      </c>
      <c r="G88" s="175">
        <f>VLOOKUP($A88,'Fed Bs Rt+IME+GME+VBP+RAA+HAC'!$B$5:$AC$88,28,FALSE)</f>
        <v>0</v>
      </c>
      <c r="H88" s="175">
        <f t="shared" si="128"/>
        <v>1840.9767768255931</v>
      </c>
      <c r="I88" s="175">
        <f>VLOOKUP($A88,'Fed Bs Rt+IME+GME+VBP+RAA+HAC'!$B$5:$AC$88,16,FALSE)</f>
        <v>131.35987315301099</v>
      </c>
      <c r="J88" s="175">
        <f t="shared" si="129"/>
        <v>0</v>
      </c>
      <c r="K88" s="175">
        <f t="shared" si="93"/>
        <v>0</v>
      </c>
      <c r="L88" s="294">
        <f>IF(OR(J88&gt;0,K88&gt;0,M88&gt;0),0,IF(VLOOKUP(A88,'Low Discharge'!A:C,3,FALSE)&lt;=L$3,L$1*C88,IF(VLOOKUP(A88,'Low Discharge'!A:C,3,FALSE)&gt;=L$2,0,(VLOOKUP(A88,'Low Discharge'!A:C,3,FALSE)-L$2)/(L$3-L$2)*L$1*C88)))</f>
        <v>0</v>
      </c>
      <c r="M88" s="170">
        <f>IF(VLOOKUP($A88,Characteristics!$A:$E,3,FALSE)=2,M$1*C88,0)</f>
        <v>1648.56</v>
      </c>
      <c r="N88" s="170">
        <f>IF(VLOOKUP($A88,Characteristics!$A:$E,5,FALSE)&gt;=N$2,N$1*C88,IF(VLOOKUP($A88,Characteristics!$A:$E,5,FALSE)&lt;=N$3,0,(VLOOKUP($A88,Characteristics!$A:$E,5,FALSE)-N$3)/(N$2-N$3)*N$1*C88))</f>
        <v>659.42399999999998</v>
      </c>
      <c r="O88" s="170">
        <f>IF(VLOOKUP($A88,Characteristics!$A:$F,6,FALSE)&lt;=O$3,O$1*C88,IF(VLOOKUP($A88,Characteristics!$A:$F,6,FALSE)&gt;=O$2,0,(VLOOKUP($A88,Characteristics!$A:$F,6,FALSE)-O$2)/(O$3-O$2)*O$1*C88))</f>
        <v>0</v>
      </c>
      <c r="P88" s="175">
        <f t="shared" si="94"/>
        <v>10874.560649978604</v>
      </c>
      <c r="Q88" s="175"/>
      <c r="R88" s="85">
        <v>8675.92</v>
      </c>
      <c r="S88" s="86">
        <f t="shared" si="130"/>
        <v>8892.8179999999993</v>
      </c>
      <c r="T88" s="85">
        <f t="shared" si="95"/>
        <v>87039985.155615702</v>
      </c>
      <c r="U88" s="88">
        <v>5483.2343999999994</v>
      </c>
      <c r="V88" s="89">
        <v>1.7850179693795327</v>
      </c>
      <c r="W88" s="90">
        <f t="shared" si="96"/>
        <v>106436632.07185625</v>
      </c>
      <c r="X88" s="98" t="s">
        <v>5</v>
      </c>
      <c r="Y88" s="85">
        <f t="shared" si="131"/>
        <v>8892.8179999999993</v>
      </c>
      <c r="Z88" s="85">
        <f t="shared" si="132"/>
        <v>8003.5361999999996</v>
      </c>
      <c r="AA88" s="85">
        <f t="shared" si="133"/>
        <v>9782.0998</v>
      </c>
      <c r="AB88" s="230"/>
      <c r="AC88" s="101"/>
      <c r="AD88" s="85">
        <f t="shared" si="134"/>
        <v>9066.4880276811055</v>
      </c>
      <c r="AE88" s="85">
        <f t="shared" si="97"/>
        <v>88739810.411382645</v>
      </c>
      <c r="AF88" s="92">
        <f t="shared" si="135"/>
        <v>0</v>
      </c>
      <c r="AG88" s="92">
        <f t="shared" si="136"/>
        <v>0</v>
      </c>
      <c r="AH88" s="85">
        <f t="shared" si="137"/>
        <v>9066.4880276811055</v>
      </c>
      <c r="AI88" s="85">
        <f t="shared" si="98"/>
        <v>88739810.411382645</v>
      </c>
      <c r="AJ88" s="93">
        <f t="shared" si="99"/>
        <v>106436632.07185625</v>
      </c>
      <c r="AK88" s="93">
        <f t="shared" ref="AK88:AK89" si="165">IF(OR(AND(AF88=1,AI$90&gt;$T$90),AND(AG88=1,AI$90&lt;$T$90)),$T88-AI88,$T88)</f>
        <v>87039985.155615702</v>
      </c>
      <c r="AL88" s="94">
        <f t="shared" si="138"/>
        <v>0</v>
      </c>
      <c r="AM88" s="95"/>
      <c r="AN88" s="85">
        <f t="shared" si="139"/>
        <v>9038.7453542579187</v>
      </c>
      <c r="AO88" s="85">
        <f t="shared" si="101"/>
        <v>88468274.225335509</v>
      </c>
      <c r="AP88" s="92">
        <f t="shared" si="140"/>
        <v>0</v>
      </c>
      <c r="AQ88" s="92">
        <f t="shared" si="141"/>
        <v>0</v>
      </c>
      <c r="AR88" s="85">
        <f t="shared" si="142"/>
        <v>9038.7453542579187</v>
      </c>
      <c r="AS88" s="85">
        <f t="shared" si="102"/>
        <v>88468274.225335509</v>
      </c>
      <c r="AT88" s="93">
        <f t="shared" si="103"/>
        <v>106436632.07185625</v>
      </c>
      <c r="AU88" s="93">
        <f t="shared" si="104"/>
        <v>87039985.155615702</v>
      </c>
      <c r="AV88" s="94">
        <f>IF(OR(AND(AP88=1,AS$90&gt;$T$90),AND(AQ88=1,AS$90&lt;$T$90),AL88=1),1,0)</f>
        <v>0</v>
      </c>
      <c r="AW88" s="92">
        <f t="shared" si="164"/>
        <v>0</v>
      </c>
      <c r="AX88" s="95"/>
      <c r="AY88" s="85">
        <f t="shared" si="143"/>
        <v>9054.6269749691292</v>
      </c>
      <c r="AZ88" s="85">
        <f t="shared" si="106"/>
        <v>88623718.318642139</v>
      </c>
      <c r="BA88" s="92">
        <f t="shared" si="144"/>
        <v>0</v>
      </c>
      <c r="BB88" s="92">
        <f t="shared" si="145"/>
        <v>0</v>
      </c>
      <c r="BC88" s="85">
        <f t="shared" si="146"/>
        <v>9054.6269749691292</v>
      </c>
      <c r="BD88" s="85">
        <f t="shared" si="107"/>
        <v>88623718.318642139</v>
      </c>
      <c r="BE88" s="93">
        <f t="shared" si="108"/>
        <v>106436632.07185625</v>
      </c>
      <c r="BF88" s="93">
        <f t="shared" si="109"/>
        <v>87039985.155615702</v>
      </c>
      <c r="BG88" s="94">
        <f t="shared" si="110"/>
        <v>0</v>
      </c>
      <c r="BH88" s="92">
        <f t="shared" si="111"/>
        <v>0</v>
      </c>
      <c r="BI88" s="95"/>
      <c r="BJ88" s="85">
        <f t="shared" si="147"/>
        <v>9054.6269749691292</v>
      </c>
      <c r="BK88" s="85">
        <f t="shared" si="112"/>
        <v>88623718.318642139</v>
      </c>
      <c r="BL88" s="92">
        <f t="shared" si="148"/>
        <v>0</v>
      </c>
      <c r="BM88" s="92">
        <f t="shared" si="149"/>
        <v>0</v>
      </c>
      <c r="BN88" s="85">
        <f t="shared" si="150"/>
        <v>9054.6269749691292</v>
      </c>
      <c r="BO88" s="85">
        <f t="shared" si="113"/>
        <v>88623718.318642139</v>
      </c>
      <c r="BP88" s="93">
        <f t="shared" si="114"/>
        <v>106436632.07185625</v>
      </c>
      <c r="BQ88" s="93">
        <f t="shared" si="115"/>
        <v>87039985.155615702</v>
      </c>
      <c r="BR88" s="94">
        <f t="shared" si="116"/>
        <v>0</v>
      </c>
      <c r="BS88" s="92">
        <f t="shared" si="117"/>
        <v>0</v>
      </c>
      <c r="BT88" s="95"/>
      <c r="BU88" s="85">
        <f t="shared" si="151"/>
        <v>9054.6269749691292</v>
      </c>
      <c r="BV88" s="85">
        <f t="shared" si="118"/>
        <v>88623718.318642139</v>
      </c>
      <c r="BW88" s="92">
        <f t="shared" si="152"/>
        <v>0</v>
      </c>
      <c r="BX88" s="92">
        <f t="shared" si="153"/>
        <v>0</v>
      </c>
      <c r="BY88" s="85">
        <f t="shared" si="154"/>
        <v>9054.6269749691292</v>
      </c>
      <c r="BZ88" s="85">
        <f t="shared" si="119"/>
        <v>88623718.318642139</v>
      </c>
      <c r="CA88" s="96">
        <f t="shared" si="120"/>
        <v>106436632.07185625</v>
      </c>
      <c r="CB88" s="96">
        <f t="shared" si="121"/>
        <v>87039985.155615702</v>
      </c>
      <c r="CC88" s="94">
        <f t="shared" si="122"/>
        <v>0</v>
      </c>
      <c r="CD88" s="92">
        <f t="shared" si="123"/>
        <v>0</v>
      </c>
      <c r="CE88" s="66"/>
      <c r="CF88" s="85">
        <f t="shared" si="124"/>
        <v>9054.6269749691292</v>
      </c>
      <c r="CG88" s="85">
        <f t="shared" si="125"/>
        <v>88623718.318642139</v>
      </c>
      <c r="CH88" s="92">
        <f t="shared" si="155"/>
        <v>0</v>
      </c>
      <c r="CI88" s="92">
        <f t="shared" si="156"/>
        <v>0</v>
      </c>
      <c r="CJ88" s="85">
        <f t="shared" si="157"/>
        <v>9054.6269749691292</v>
      </c>
      <c r="CK88" s="85">
        <f t="shared" si="126"/>
        <v>88623718.318642139</v>
      </c>
      <c r="CL88" s="97">
        <f t="shared" si="127"/>
        <v>1.0181954668328004</v>
      </c>
      <c r="CM88" s="261"/>
      <c r="CN88" s="295">
        <f t="shared" si="158"/>
        <v>9235.7199999999993</v>
      </c>
      <c r="CP88" s="85">
        <f t="shared" si="159"/>
        <v>9235.7199999999993</v>
      </c>
      <c r="CQ88" s="85">
        <f t="shared" si="160"/>
        <v>8312.1479999999992</v>
      </c>
      <c r="CR88" s="85">
        <f t="shared" si="161"/>
        <v>10159.291999999999</v>
      </c>
      <c r="CS88" s="295">
        <f t="shared" si="162"/>
        <v>9235.719514468512</v>
      </c>
      <c r="CT88" s="295">
        <f t="shared" si="163"/>
        <v>9235.719514468512</v>
      </c>
      <c r="CU88" s="303"/>
      <c r="CV88" s="303"/>
    </row>
    <row r="89" spans="1:100" s="153" customFormat="1" ht="15" customHeight="1" thickBot="1" x14ac:dyDescent="0.35">
      <c r="A89" s="174">
        <v>63303</v>
      </c>
      <c r="B89" s="176" t="s">
        <v>274</v>
      </c>
      <c r="C89" s="175">
        <f>VLOOKUP($A89,'Fed Bs Rt+IME+GME+VBP+RAA+HAC'!$B$5:$AC$88,15,FALSE)</f>
        <v>6594.24</v>
      </c>
      <c r="D89" s="175">
        <f>VLOOKUP($A89,'Fed Bs Rt+IME+GME+VBP+RAA+HAC'!$B$5:$AC$88,21,FALSE)</f>
        <v>0</v>
      </c>
      <c r="E89" s="175">
        <f>VLOOKUP($A89,'Fed Bs Rt+IME+GME+VBP+RAA+HAC'!$B$5:$AC$88,25,FALSE)</f>
        <v>0</v>
      </c>
      <c r="F89" s="175">
        <f>VLOOKUP($A89,'Fed Bs Rt+IME+GME+VBP+RAA+HAC'!$B$5:$AC$88,23,FALSE)</f>
        <v>0</v>
      </c>
      <c r="G89" s="175">
        <f>VLOOKUP($A89,'Fed Bs Rt+IME+GME+VBP+RAA+HAC'!$B$5:$AC$88,28,FALSE)</f>
        <v>0</v>
      </c>
      <c r="H89" s="175">
        <f t="shared" si="128"/>
        <v>0</v>
      </c>
      <c r="I89" s="175">
        <f>VLOOKUP($A89,'Fed Bs Rt+IME+GME+VBP+RAA+HAC'!$B$5:$AC$88,16,FALSE)</f>
        <v>0</v>
      </c>
      <c r="J89" s="175">
        <f t="shared" si="129"/>
        <v>0</v>
      </c>
      <c r="K89" s="175">
        <f t="shared" si="93"/>
        <v>0</v>
      </c>
      <c r="L89" s="294">
        <f>IF(OR(J89&gt;0,K89&gt;0,M89&gt;0),0,IF(VLOOKUP(A89,'Low Discharge'!A:C,3,FALSE)&lt;=L$3,L$1*C89,IF(VLOOKUP(A89,'Low Discharge'!A:C,3,FALSE)&gt;=L$2,0,(VLOOKUP(A89,'Low Discharge'!A:C,3,FALSE)-L$2)/(L$3-L$2)*L$1*C89)))</f>
        <v>0</v>
      </c>
      <c r="M89" s="170">
        <f>IF(VLOOKUP($A89,Characteristics!$A:$E,3,FALSE)=2,M$1*C89,0)</f>
        <v>1648.56</v>
      </c>
      <c r="N89" s="170">
        <f>IF(VLOOKUP($A89,Characteristics!$A:$E,5,FALSE)&gt;=N$2,N$1*C89,IF(VLOOKUP($A89,Characteristics!$A:$E,5,FALSE)&lt;=N$3,0,(VLOOKUP($A89,Characteristics!$A:$E,5,FALSE)-N$3)/(N$2-N$3)*N$1*C89))</f>
        <v>659.42399999999998</v>
      </c>
      <c r="O89" s="170">
        <f>IF(VLOOKUP($A89,Characteristics!$A:$F,6,FALSE)&lt;=O$3,O$1*C89,IF(VLOOKUP($A89,Characteristics!$A:$F,6,FALSE)&gt;=O$2,0,(VLOOKUP($A89,Characteristics!$A:$F,6,FALSE)-O$2)/(O$3-O$2)*O$1*C89))</f>
        <v>0</v>
      </c>
      <c r="P89" s="175">
        <f t="shared" si="94"/>
        <v>8902.2239999999983</v>
      </c>
      <c r="Q89" s="175"/>
      <c r="R89" s="85">
        <v>8675.92</v>
      </c>
      <c r="S89" s="86">
        <f t="shared" si="130"/>
        <v>8892.8179999999993</v>
      </c>
      <c r="T89" s="105">
        <f t="shared" si="95"/>
        <v>23793743.75066863</v>
      </c>
      <c r="U89" s="88">
        <v>1602.7746</v>
      </c>
      <c r="V89" s="89">
        <v>1.6693635423845625</v>
      </c>
      <c r="W89" s="90">
        <f t="shared" si="96"/>
        <v>23818910.571098194</v>
      </c>
      <c r="X89" s="98" t="s">
        <v>5</v>
      </c>
      <c r="Y89" s="85">
        <f t="shared" si="131"/>
        <v>8892.8179999999993</v>
      </c>
      <c r="Z89" s="85">
        <f t="shared" si="132"/>
        <v>8003.5361999999996</v>
      </c>
      <c r="AA89" s="85">
        <f t="shared" si="133"/>
        <v>9782.0998</v>
      </c>
      <c r="AB89" s="230"/>
      <c r="AC89" s="101"/>
      <c r="AD89" s="85">
        <f t="shared" si="134"/>
        <v>7422.0844329829715</v>
      </c>
      <c r="AE89" s="85">
        <f t="shared" si="97"/>
        <v>19858629.187533524</v>
      </c>
      <c r="AF89" s="92">
        <f t="shared" si="135"/>
        <v>1</v>
      </c>
      <c r="AG89" s="92">
        <f t="shared" si="136"/>
        <v>0</v>
      </c>
      <c r="AH89" s="85">
        <f t="shared" si="137"/>
        <v>8003.5361999999996</v>
      </c>
      <c r="AI89" s="85">
        <f t="shared" si="98"/>
        <v>21414369.375601768</v>
      </c>
      <c r="AJ89" s="93">
        <f t="shared" si="99"/>
        <v>0</v>
      </c>
      <c r="AK89" s="93">
        <f t="shared" si="165"/>
        <v>2379374.3750668615</v>
      </c>
      <c r="AL89" s="94">
        <f t="shared" si="138"/>
        <v>1</v>
      </c>
      <c r="AM89" s="95"/>
      <c r="AN89" s="85">
        <f t="shared" si="139"/>
        <v>8003.5361999999996</v>
      </c>
      <c r="AO89" s="85">
        <f t="shared" si="101"/>
        <v>21414369.375601768</v>
      </c>
      <c r="AP89" s="92">
        <f t="shared" si="140"/>
        <v>1</v>
      </c>
      <c r="AQ89" s="92">
        <f t="shared" si="141"/>
        <v>0</v>
      </c>
      <c r="AR89" s="85">
        <f t="shared" si="142"/>
        <v>8003.5361999999996</v>
      </c>
      <c r="AS89" s="85">
        <f t="shared" si="102"/>
        <v>21414369.375601768</v>
      </c>
      <c r="AT89" s="93">
        <f t="shared" si="103"/>
        <v>0</v>
      </c>
      <c r="AU89" s="93">
        <f>IF(OR(AND(AP89=1,AS$90&gt;$T$90),AND(AQ89=1,AS$90&lt;$T$90),AL89=1),$T89-AS89,$T89)</f>
        <v>2379374.3750668615</v>
      </c>
      <c r="AV89" s="94">
        <f t="shared" ref="AV89" si="166">IF(OR(AND(AP89=1,AS$90&gt;$T$90),AND(AQ89=1,AS$90&lt;$T$90),AL89=1),1,0)</f>
        <v>1</v>
      </c>
      <c r="AW89" s="92">
        <f t="shared" si="164"/>
        <v>0</v>
      </c>
      <c r="AX89" s="95"/>
      <c r="AY89" s="85">
        <f t="shared" si="143"/>
        <v>8003.5361999999996</v>
      </c>
      <c r="AZ89" s="85">
        <f t="shared" si="106"/>
        <v>21414369.375601768</v>
      </c>
      <c r="BA89" s="92">
        <f t="shared" si="144"/>
        <v>1</v>
      </c>
      <c r="BB89" s="92">
        <f t="shared" si="145"/>
        <v>0</v>
      </c>
      <c r="BC89" s="85">
        <f t="shared" si="146"/>
        <v>8003.5361999999996</v>
      </c>
      <c r="BD89" s="85">
        <f t="shared" si="107"/>
        <v>21414369.375601768</v>
      </c>
      <c r="BE89" s="93">
        <f t="shared" si="108"/>
        <v>0</v>
      </c>
      <c r="BF89" s="93">
        <f>IF(OR(AND(BA89=1,BD$90&gt;$T$90),AND(BB89=1,BD$90&lt;$T$90),AV89=1),$T89-BD89,$T89)</f>
        <v>2379374.3750668615</v>
      </c>
      <c r="BG89" s="94">
        <f>IF(OR(AND(BA89=1,BD$90&gt;$T$90),AND(BB89=1,BD$90&lt;$T$90),AV89=1),1,0)</f>
        <v>1</v>
      </c>
      <c r="BH89" s="92">
        <f>IF(BG89=AV89,0,1)</f>
        <v>0</v>
      </c>
      <c r="BI89" s="95"/>
      <c r="BJ89" s="85">
        <f t="shared" si="147"/>
        <v>8003.5361999999996</v>
      </c>
      <c r="BK89" s="85">
        <f t="shared" si="112"/>
        <v>21414369.375601768</v>
      </c>
      <c r="BL89" s="92">
        <f t="shared" si="148"/>
        <v>1</v>
      </c>
      <c r="BM89" s="92">
        <f t="shared" si="149"/>
        <v>0</v>
      </c>
      <c r="BN89" s="85">
        <f t="shared" si="150"/>
        <v>8003.5361999999996</v>
      </c>
      <c r="BO89" s="85">
        <f t="shared" si="113"/>
        <v>21414369.375601768</v>
      </c>
      <c r="BP89" s="93">
        <f t="shared" si="114"/>
        <v>0</v>
      </c>
      <c r="BQ89" s="93">
        <f t="shared" si="115"/>
        <v>2379374.3750668615</v>
      </c>
      <c r="BR89" s="94">
        <f t="shared" si="116"/>
        <v>1</v>
      </c>
      <c r="BS89" s="92">
        <f t="shared" si="117"/>
        <v>0</v>
      </c>
      <c r="BT89" s="95"/>
      <c r="BU89" s="85">
        <f t="shared" si="151"/>
        <v>8003.5361999999996</v>
      </c>
      <c r="BV89" s="85">
        <f t="shared" si="118"/>
        <v>21414369.375601768</v>
      </c>
      <c r="BW89" s="92">
        <f t="shared" si="152"/>
        <v>1</v>
      </c>
      <c r="BX89" s="92">
        <f t="shared" si="153"/>
        <v>0</v>
      </c>
      <c r="BY89" s="85">
        <f t="shared" si="154"/>
        <v>8003.5361999999996</v>
      </c>
      <c r="BZ89" s="85">
        <f t="shared" si="119"/>
        <v>21414369.375601768</v>
      </c>
      <c r="CA89" s="96">
        <f t="shared" si="120"/>
        <v>0</v>
      </c>
      <c r="CB89" s="96">
        <f t="shared" si="121"/>
        <v>2379374.3750668615</v>
      </c>
      <c r="CC89" s="94">
        <f t="shared" si="122"/>
        <v>1</v>
      </c>
      <c r="CD89" s="92">
        <f t="shared" si="123"/>
        <v>0</v>
      </c>
      <c r="CE89" s="66"/>
      <c r="CF89" s="85">
        <f>$P89*CF$3</f>
        <v>7412.374638581482</v>
      </c>
      <c r="CG89" s="85">
        <f t="shared" si="125"/>
        <v>19832649.530707005</v>
      </c>
      <c r="CH89" s="92">
        <f t="shared" si="155"/>
        <v>1</v>
      </c>
      <c r="CI89" s="92">
        <f t="shared" si="156"/>
        <v>0</v>
      </c>
      <c r="CJ89" s="85">
        <f t="shared" si="157"/>
        <v>8003.5361999999996</v>
      </c>
      <c r="CK89" s="85">
        <f t="shared" si="126"/>
        <v>21414369.375601768</v>
      </c>
      <c r="CL89" s="97">
        <f t="shared" si="127"/>
        <v>0.9</v>
      </c>
      <c r="CM89" s="261"/>
      <c r="CN89" s="295">
        <f t="shared" si="158"/>
        <v>8163.61</v>
      </c>
      <c r="CP89" s="85">
        <f t="shared" si="159"/>
        <v>8163.61</v>
      </c>
      <c r="CQ89" s="85">
        <f t="shared" si="160"/>
        <v>7347.2489999999998</v>
      </c>
      <c r="CR89" s="85">
        <f t="shared" si="161"/>
        <v>8979.9709999999995</v>
      </c>
      <c r="CS89" s="295">
        <f t="shared" si="162"/>
        <v>7560.6221313531114</v>
      </c>
      <c r="CT89" s="295">
        <f t="shared" si="163"/>
        <v>7560.6221313531114</v>
      </c>
      <c r="CU89" s="303"/>
      <c r="CV89" s="303"/>
    </row>
    <row r="90" spans="1:100" ht="15" customHeight="1" thickBot="1" x14ac:dyDescent="0.35">
      <c r="J90" s="4"/>
      <c r="K90" s="4"/>
      <c r="L90" s="4"/>
      <c r="M90" s="4"/>
      <c r="N90" s="4"/>
      <c r="O90" s="4"/>
      <c r="P90" s="4"/>
      <c r="Q90" s="10"/>
      <c r="R90" s="106"/>
      <c r="S90" s="106"/>
      <c r="T90" s="107">
        <f>SUM(T6:T89)</f>
        <v>820769410.11632085</v>
      </c>
      <c r="U90" s="108">
        <f>SUM(U6:U89)</f>
        <v>91675.198799999984</v>
      </c>
      <c r="V90" s="109">
        <v>1.4206851337958377</v>
      </c>
      <c r="W90" s="110">
        <f>SUM(W6:W89)</f>
        <v>984450285.78942835</v>
      </c>
      <c r="X90" s="98" t="s">
        <v>5</v>
      </c>
      <c r="Y90" s="106"/>
      <c r="Z90" s="111"/>
      <c r="AA90" s="111"/>
      <c r="AB90" s="230"/>
      <c r="AC90" s="101"/>
      <c r="AD90" s="171"/>
      <c r="AE90" s="112">
        <f>SUM(AE6:AE89)</f>
        <v>820769410.11632025</v>
      </c>
      <c r="AF90" s="171">
        <f>SUM(AF6:AF89)</f>
        <v>5</v>
      </c>
      <c r="AG90" s="171">
        <f>SUM(AG6:AG89)</f>
        <v>26</v>
      </c>
      <c r="AH90" s="171"/>
      <c r="AI90" s="112">
        <f>SUM(AI6:AI89)</f>
        <v>821759162.61476898</v>
      </c>
      <c r="AJ90" s="112">
        <f>SUM(AJ6:AJ89)</f>
        <v>954987346.22956944</v>
      </c>
      <c r="AK90" s="112">
        <f>SUM(AK6:AK89)</f>
        <v>793768844.27276635</v>
      </c>
      <c r="AL90" s="171">
        <f>SUM(AL6:AL89)</f>
        <v>5</v>
      </c>
      <c r="AM90" s="111"/>
      <c r="AN90" s="171"/>
      <c r="AO90" s="112">
        <f>SUM(AO6:AO89)</f>
        <v>820769410.11632025</v>
      </c>
      <c r="AP90" s="171">
        <f>SUM(AP6:AP89)</f>
        <v>5</v>
      </c>
      <c r="AQ90" s="171">
        <f>SUM(AQ6:AQ89)</f>
        <v>26</v>
      </c>
      <c r="AR90" s="171"/>
      <c r="AS90" s="112">
        <f>SUM(AS6:AS89)</f>
        <v>819444158.96365881</v>
      </c>
      <c r="AT90" s="112">
        <f>SUM(AT6:AT89)</f>
        <v>907434089.89134717</v>
      </c>
      <c r="AU90" s="112">
        <f>SUM(AU6:AU89)</f>
        <v>755568657.23608971</v>
      </c>
      <c r="AV90" s="171">
        <f>SUM(AV6:AV89)</f>
        <v>31</v>
      </c>
      <c r="AW90" s="171">
        <f>SUM(AW6:AW89)</f>
        <v>26</v>
      </c>
      <c r="AX90" s="111"/>
      <c r="AY90" s="171"/>
      <c r="AZ90" s="112">
        <f>SUM(AZ6:AZ89)</f>
        <v>820769410.11632049</v>
      </c>
      <c r="BA90" s="171">
        <f>SUM(BA6:BA89)</f>
        <v>5</v>
      </c>
      <c r="BB90" s="171">
        <f>SUM(BB6:BB89)</f>
        <v>26</v>
      </c>
      <c r="BC90" s="171"/>
      <c r="BD90" s="112">
        <f>SUM(BD6:BD89)</f>
        <v>820769410.11632049</v>
      </c>
      <c r="BE90" s="112">
        <f>SUM(BE6:BE89)</f>
        <v>907434089.89134717</v>
      </c>
      <c r="BF90" s="112">
        <f>SUM(BF6:BF89)</f>
        <v>755568657.23608971</v>
      </c>
      <c r="BG90" s="171">
        <f>SUM(BG6:BG89)</f>
        <v>31</v>
      </c>
      <c r="BH90" s="171">
        <f>SUM(BH6:BH89)</f>
        <v>0</v>
      </c>
      <c r="BI90" s="111"/>
      <c r="BJ90" s="171"/>
      <c r="BK90" s="112">
        <f>SUM(BK6:BK89)</f>
        <v>820769410.11632049</v>
      </c>
      <c r="BL90" s="171">
        <f>SUM(BL6:BL89)</f>
        <v>5</v>
      </c>
      <c r="BM90" s="171">
        <f>SUM(BM6:BM89)</f>
        <v>26</v>
      </c>
      <c r="BN90" s="171"/>
      <c r="BO90" s="112">
        <f>SUM(BO6:BO89)</f>
        <v>820769410.11632049</v>
      </c>
      <c r="BP90" s="112">
        <f>SUM(BP6:BP89)</f>
        <v>907434089.89134717</v>
      </c>
      <c r="BQ90" s="112">
        <f>SUM(BQ6:BQ89)</f>
        <v>755568657.23608971</v>
      </c>
      <c r="BR90" s="171">
        <f>SUM(BR6:BR89)</f>
        <v>31</v>
      </c>
      <c r="BS90" s="171">
        <f>SUM(BS6:BS89)</f>
        <v>0</v>
      </c>
      <c r="BT90" s="111"/>
      <c r="BU90" s="171"/>
      <c r="BV90" s="112">
        <f>SUM(BV6:BV89)</f>
        <v>820769410.11632049</v>
      </c>
      <c r="BW90" s="171">
        <f>SUM(BW6:BW89)</f>
        <v>5</v>
      </c>
      <c r="BX90" s="171">
        <f>SUM(BX6:BX89)</f>
        <v>26</v>
      </c>
      <c r="BY90" s="171"/>
      <c r="BZ90" s="112">
        <f>SUM(BZ6:BZ89)</f>
        <v>820769410.11632049</v>
      </c>
      <c r="CA90" s="112">
        <f>SUM(CA6:CA89)</f>
        <v>907434089.89134717</v>
      </c>
      <c r="CB90" s="112">
        <f>SUM(CB6:CB89)</f>
        <v>755568657.23608971</v>
      </c>
      <c r="CC90" s="171">
        <f>SUM(CC6:CC89)</f>
        <v>31</v>
      </c>
      <c r="CD90" s="113">
        <f>SUM(CD6:CD89)</f>
        <v>0</v>
      </c>
      <c r="CE90" s="106"/>
      <c r="CF90" s="171"/>
      <c r="CG90" s="112">
        <f>SUM(CG6:CG89)</f>
        <v>819695654.85319722</v>
      </c>
      <c r="CH90" s="171">
        <f>SUM(CH6:CH89)</f>
        <v>5</v>
      </c>
      <c r="CI90" s="113">
        <f>SUM(CI6:CI89)</f>
        <v>26</v>
      </c>
      <c r="CJ90" s="114"/>
      <c r="CK90" s="115">
        <f>SUM(CK6:CK89)</f>
        <v>820769410.11632049</v>
      </c>
      <c r="CL90" s="116"/>
      <c r="CM90" s="262"/>
    </row>
    <row r="91" spans="1:100" ht="15" customHeight="1" thickBot="1" x14ac:dyDescent="0.35">
      <c r="I91" s="126"/>
      <c r="J91" s="4"/>
      <c r="K91" s="4"/>
      <c r="L91" s="4"/>
      <c r="M91" s="4"/>
      <c r="N91" s="4"/>
      <c r="O91" s="4"/>
      <c r="P91" s="4"/>
      <c r="Q91" s="10"/>
      <c r="T91" s="117"/>
      <c r="X91" s="111"/>
      <c r="AA91" s="57" t="s">
        <v>5</v>
      </c>
      <c r="AB91" s="230"/>
      <c r="AC91" s="111"/>
      <c r="AK91" s="118" t="s">
        <v>5</v>
      </c>
      <c r="AU91" s="118" t="s">
        <v>5</v>
      </c>
      <c r="AW91" s="57" t="str">
        <f>IF(AW90=0,"FINAL","See Next Round")</f>
        <v>See Next Round</v>
      </c>
      <c r="BF91" s="118"/>
      <c r="BH91" s="57" t="str">
        <f>IF(BH90=0,"FINAL","See Next Round")</f>
        <v>FINAL</v>
      </c>
      <c r="BQ91" s="118"/>
      <c r="BS91" s="57" t="str">
        <f>IF(BS90=0,"FINAL","See Next Round")</f>
        <v>FINAL</v>
      </c>
      <c r="CB91" s="118"/>
      <c r="CD91" s="119" t="str">
        <f>IF(CD90=0,"FINAL","See Next Round")</f>
        <v>FINAL</v>
      </c>
      <c r="CI91" s="120"/>
      <c r="CJ91" s="121" t="s">
        <v>178</v>
      </c>
      <c r="CK91" s="122">
        <f>$T90</f>
        <v>820769410.11632085</v>
      </c>
      <c r="CM91" s="262"/>
    </row>
    <row r="92" spans="1:100" ht="15" customHeight="1" x14ac:dyDescent="0.3">
      <c r="B92" s="287"/>
      <c r="C92" s="123"/>
      <c r="D92" s="124"/>
      <c r="J92" s="4"/>
      <c r="K92" s="4"/>
      <c r="L92" s="4"/>
      <c r="M92" s="4"/>
      <c r="N92" s="4"/>
      <c r="O92" s="4"/>
      <c r="P92" s="4"/>
      <c r="Q92" s="10"/>
      <c r="T92" s="276" t="s">
        <v>265</v>
      </c>
      <c r="U92" s="277">
        <f>MIN(U6:U89)</f>
        <v>30</v>
      </c>
      <c r="CJ92" s="157" t="s">
        <v>179</v>
      </c>
      <c r="CK92" s="118">
        <f>CK90-CK91</f>
        <v>0</v>
      </c>
      <c r="CM92" s="262"/>
    </row>
    <row r="93" spans="1:100" ht="41.4" customHeight="1" x14ac:dyDescent="0.3">
      <c r="C93" s="123"/>
      <c r="D93" s="125"/>
      <c r="J93" s="4"/>
      <c r="K93" s="4"/>
      <c r="L93" s="4"/>
      <c r="M93" s="4"/>
      <c r="N93" s="4"/>
      <c r="O93" s="4"/>
      <c r="P93" s="4"/>
      <c r="Q93" s="10"/>
      <c r="CL93" s="315"/>
      <c r="CM93" s="315"/>
    </row>
    <row r="94" spans="1:100" ht="15" customHeight="1" x14ac:dyDescent="0.3">
      <c r="C94" s="123"/>
      <c r="D94" s="126"/>
      <c r="J94" s="4"/>
      <c r="K94" s="4"/>
      <c r="L94" s="4"/>
      <c r="M94" s="4"/>
      <c r="N94" s="4"/>
      <c r="O94" s="4"/>
      <c r="P94" s="4"/>
      <c r="Q94" s="10"/>
      <c r="CL94" s="269"/>
      <c r="CM94" s="270"/>
    </row>
    <row r="95" spans="1:100" ht="15" customHeight="1" x14ac:dyDescent="0.3">
      <c r="C95" s="123"/>
      <c r="D95" s="126"/>
      <c r="J95" s="4"/>
      <c r="K95" s="4"/>
      <c r="L95" s="4"/>
      <c r="M95" s="4"/>
      <c r="N95" s="4"/>
      <c r="O95" s="4"/>
      <c r="P95" s="4"/>
      <c r="Q95" s="10"/>
      <c r="CL95" s="269"/>
      <c r="CM95" s="270"/>
    </row>
    <row r="96" spans="1:100" ht="15" customHeight="1" x14ac:dyDescent="0.3">
      <c r="C96" s="123"/>
      <c r="D96" s="127"/>
      <c r="J96" s="4"/>
      <c r="K96" s="4"/>
      <c r="L96" s="4"/>
      <c r="M96" s="4"/>
      <c r="N96" s="4"/>
      <c r="O96" s="4"/>
      <c r="P96" s="4"/>
      <c r="Q96" s="10"/>
      <c r="CL96" s="269"/>
      <c r="CM96" s="270"/>
    </row>
    <row r="97" spans="1:91" ht="15" customHeight="1" x14ac:dyDescent="0.3">
      <c r="C97" s="123"/>
      <c r="D97" s="127"/>
      <c r="J97" s="4"/>
      <c r="K97" s="4"/>
      <c r="L97" s="4"/>
      <c r="M97" s="4"/>
      <c r="N97" s="4"/>
      <c r="O97" s="4"/>
      <c r="P97" s="4"/>
      <c r="Q97" s="10"/>
      <c r="CL97" s="269"/>
      <c r="CM97" s="270"/>
    </row>
    <row r="98" spans="1:91" ht="15" customHeight="1" x14ac:dyDescent="0.3">
      <c r="C98" s="123"/>
      <c r="D98" s="128"/>
      <c r="J98" s="4"/>
      <c r="K98" s="4"/>
      <c r="L98" s="4"/>
      <c r="M98" s="4"/>
      <c r="N98" s="4"/>
      <c r="O98" s="4"/>
      <c r="P98" s="4"/>
      <c r="Q98" s="10"/>
    </row>
    <row r="99" spans="1:91" ht="15" customHeight="1" x14ac:dyDescent="0.3">
      <c r="C99" s="123"/>
      <c r="D99" s="128"/>
      <c r="J99" s="4"/>
      <c r="K99" s="4"/>
      <c r="L99" s="4"/>
      <c r="M99" s="4"/>
      <c r="N99" s="4"/>
      <c r="O99" s="4"/>
      <c r="P99" s="4"/>
      <c r="Q99" s="10"/>
    </row>
    <row r="100" spans="1:91" ht="15" customHeight="1" x14ac:dyDescent="0.3">
      <c r="C100" s="123"/>
      <c r="D100" s="128"/>
      <c r="Q100" s="10"/>
    </row>
    <row r="101" spans="1:91" ht="15" customHeight="1" x14ac:dyDescent="0.3">
      <c r="C101" s="123"/>
      <c r="D101" s="128"/>
      <c r="Q101" s="10"/>
    </row>
    <row r="110" spans="1:91" ht="15" customHeight="1" x14ac:dyDescent="0.3">
      <c r="A110" s="12"/>
    </row>
    <row r="114" spans="3:3" ht="15" customHeight="1" x14ac:dyDescent="0.3">
      <c r="C114" s="55" t="s">
        <v>180</v>
      </c>
    </row>
  </sheetData>
  <mergeCells count="12">
    <mergeCell ref="CQ4:CR4"/>
    <mergeCell ref="CQ3:CR3"/>
    <mergeCell ref="CP1:CT2"/>
    <mergeCell ref="I1:I3"/>
    <mergeCell ref="CJ3:CL4"/>
    <mergeCell ref="J4:M4"/>
    <mergeCell ref="CL93:CM93"/>
    <mergeCell ref="T2:T4"/>
    <mergeCell ref="Y1:Y2"/>
    <mergeCell ref="W1:W2"/>
    <mergeCell ref="Z4:AA4"/>
    <mergeCell ref="Z3:AA3"/>
  </mergeCells>
  <hyperlinks>
    <hyperlink ref="U2" r:id="rId1" xr:uid="{58249810-BCA0-428B-A43F-502FF69B0E4F}"/>
  </hyperlinks>
  <pageMargins left="0.7" right="0.7" top="0.75" bottom="0.75" header="0.3" footer="0.3"/>
  <pageSetup orientation="portrait" horizontalDpi="1200" verticalDpi="1200"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4080E7-5762-4472-A7B1-D29AB16AD3A1}">
  <sheetPr>
    <tabColor rgb="FF00B050"/>
  </sheetPr>
  <dimension ref="A1:E83"/>
  <sheetViews>
    <sheetView workbookViewId="0">
      <pane ySplit="1" topLeftCell="A2" activePane="bottomLeft" state="frozen"/>
      <selection activeCell="C2" sqref="C2:C14"/>
      <selection pane="bottomLeft" activeCell="F7" sqref="F7"/>
    </sheetView>
  </sheetViews>
  <sheetFormatPr defaultRowHeight="14.5" x14ac:dyDescent="0.35"/>
  <cols>
    <col min="1" max="1" width="9.1796875" style="1"/>
    <col min="2" max="2" width="35.54296875" style="179" hidden="1" customWidth="1"/>
    <col min="3" max="3" width="17.1796875" style="1" customWidth="1"/>
    <col min="4" max="4" width="11.08984375" customWidth="1"/>
    <col min="5" max="5" width="11.1796875" customWidth="1"/>
  </cols>
  <sheetData>
    <row r="1" spans="1:5" ht="85.25" customHeight="1" x14ac:dyDescent="0.35">
      <c r="A1" s="152" t="s">
        <v>0</v>
      </c>
      <c r="B1" s="180"/>
      <c r="C1" s="152" t="s">
        <v>290</v>
      </c>
    </row>
    <row r="2" spans="1:5" x14ac:dyDescent="0.35">
      <c r="A2" s="129">
        <v>60107</v>
      </c>
      <c r="B2" s="181"/>
      <c r="C2" s="160">
        <v>57.333333333333336</v>
      </c>
      <c r="D2" s="1"/>
    </row>
    <row r="3" spans="1:5" x14ac:dyDescent="0.35">
      <c r="A3" s="129">
        <v>60129</v>
      </c>
      <c r="B3" s="181"/>
      <c r="C3" s="160">
        <v>368.33333333333331</v>
      </c>
      <c r="D3" s="1"/>
    </row>
    <row r="4" spans="1:5" x14ac:dyDescent="0.35">
      <c r="A4" s="129">
        <v>60117</v>
      </c>
      <c r="B4" s="181"/>
      <c r="C4" s="160">
        <v>580.66666666666663</v>
      </c>
      <c r="D4" s="1"/>
    </row>
    <row r="5" spans="1:5" x14ac:dyDescent="0.35">
      <c r="A5" s="129">
        <v>60130</v>
      </c>
      <c r="B5" s="181"/>
      <c r="C5" s="160">
        <v>882</v>
      </c>
      <c r="D5" s="2"/>
    </row>
    <row r="6" spans="1:5" x14ac:dyDescent="0.35">
      <c r="A6" s="129">
        <v>60044</v>
      </c>
      <c r="B6" s="181"/>
      <c r="C6" s="160">
        <v>1000.3333333333334</v>
      </c>
    </row>
    <row r="7" spans="1:5" x14ac:dyDescent="0.35">
      <c r="A7" s="129">
        <v>60076</v>
      </c>
      <c r="B7" s="181"/>
      <c r="C7" s="160">
        <v>1047.3333333333333</v>
      </c>
    </row>
    <row r="8" spans="1:5" x14ac:dyDescent="0.35">
      <c r="A8" s="129">
        <v>60126</v>
      </c>
      <c r="B8" s="181"/>
      <c r="C8" s="160">
        <v>1183</v>
      </c>
    </row>
    <row r="9" spans="1:5" x14ac:dyDescent="0.35">
      <c r="A9" s="129">
        <v>60049</v>
      </c>
      <c r="B9" s="181"/>
      <c r="C9" s="160">
        <v>1209.6666666666667</v>
      </c>
    </row>
    <row r="10" spans="1:5" x14ac:dyDescent="0.35">
      <c r="A10" s="129">
        <v>60118</v>
      </c>
      <c r="B10" s="181"/>
      <c r="C10" s="160">
        <v>1337.6666666666667</v>
      </c>
    </row>
    <row r="11" spans="1:5" x14ac:dyDescent="0.35">
      <c r="A11" s="129">
        <v>60071</v>
      </c>
      <c r="B11" s="181"/>
      <c r="C11" s="160">
        <v>1446.3333333333333</v>
      </c>
    </row>
    <row r="12" spans="1:5" x14ac:dyDescent="0.35">
      <c r="A12" s="129">
        <v>60008</v>
      </c>
      <c r="B12" s="181"/>
      <c r="C12" s="160">
        <v>1884.6666666666667</v>
      </c>
    </row>
    <row r="13" spans="1:5" x14ac:dyDescent="0.35">
      <c r="A13" s="129">
        <v>60096</v>
      </c>
      <c r="B13" s="181"/>
      <c r="C13" s="160">
        <v>1892.6666666666667</v>
      </c>
    </row>
    <row r="14" spans="1:5" x14ac:dyDescent="0.35">
      <c r="A14" s="129">
        <v>60128</v>
      </c>
      <c r="B14" s="181"/>
      <c r="C14" s="160">
        <v>1935</v>
      </c>
      <c r="D14" s="282" t="s">
        <v>190</v>
      </c>
      <c r="E14" s="283">
        <f>QUARTILE($C$2:$C$51,1)</f>
        <v>2128.8333333333335</v>
      </c>
    </row>
    <row r="15" spans="1:5" x14ac:dyDescent="0.35">
      <c r="A15" s="1">
        <v>60124</v>
      </c>
      <c r="C15" s="13">
        <v>2710.3333333333335</v>
      </c>
    </row>
    <row r="16" spans="1:5" x14ac:dyDescent="0.35">
      <c r="A16" s="1">
        <v>60030</v>
      </c>
      <c r="C16" s="13">
        <v>2876.6666666666665</v>
      </c>
    </row>
    <row r="17" spans="1:3" x14ac:dyDescent="0.35">
      <c r="A17" s="1">
        <v>60006</v>
      </c>
      <c r="C17" s="13">
        <v>2894</v>
      </c>
    </row>
    <row r="18" spans="1:3" x14ac:dyDescent="0.35">
      <c r="A18" s="1">
        <v>60004</v>
      </c>
      <c r="C18" s="13">
        <v>2897</v>
      </c>
    </row>
    <row r="19" spans="1:3" x14ac:dyDescent="0.35">
      <c r="A19" s="1">
        <v>60054</v>
      </c>
      <c r="C19" s="13">
        <v>2929.3333333333335</v>
      </c>
    </row>
    <row r="20" spans="1:3" x14ac:dyDescent="0.35">
      <c r="A20" s="1">
        <v>60075</v>
      </c>
      <c r="C20" s="13">
        <v>2975</v>
      </c>
    </row>
    <row r="21" spans="1:3" x14ac:dyDescent="0.35">
      <c r="A21" s="1">
        <v>60012</v>
      </c>
      <c r="C21" s="13">
        <v>2980</v>
      </c>
    </row>
    <row r="22" spans="1:3" x14ac:dyDescent="0.35">
      <c r="A22" s="1">
        <v>60132</v>
      </c>
      <c r="C22" s="13">
        <v>3018</v>
      </c>
    </row>
    <row r="23" spans="1:3" x14ac:dyDescent="0.35">
      <c r="A23" s="1">
        <v>60131</v>
      </c>
      <c r="C23" s="13">
        <v>3305</v>
      </c>
    </row>
    <row r="24" spans="1:3" x14ac:dyDescent="0.35">
      <c r="A24" s="1">
        <v>60125</v>
      </c>
      <c r="C24" s="13">
        <v>3466.6666666666665</v>
      </c>
    </row>
    <row r="25" spans="1:3" x14ac:dyDescent="0.35">
      <c r="A25" s="1">
        <v>60003</v>
      </c>
      <c r="C25" s="13">
        <v>4194.333333333333</v>
      </c>
    </row>
    <row r="26" spans="1:3" x14ac:dyDescent="0.35">
      <c r="A26" s="1">
        <v>60013</v>
      </c>
      <c r="C26" s="13">
        <v>4230.333333333333</v>
      </c>
    </row>
    <row r="27" spans="1:3" x14ac:dyDescent="0.35">
      <c r="A27" s="1">
        <v>60103</v>
      </c>
      <c r="C27" s="13">
        <v>4440.333333333333</v>
      </c>
    </row>
    <row r="28" spans="1:3" x14ac:dyDescent="0.35">
      <c r="A28" s="1">
        <v>60104</v>
      </c>
      <c r="C28" s="13">
        <v>5769</v>
      </c>
    </row>
    <row r="29" spans="1:3" x14ac:dyDescent="0.35">
      <c r="A29" s="1">
        <v>60065</v>
      </c>
      <c r="C29" s="13">
        <v>7601.333333333333</v>
      </c>
    </row>
    <row r="30" spans="1:3" x14ac:dyDescent="0.35">
      <c r="A30" s="1">
        <v>60114</v>
      </c>
      <c r="C30" s="13">
        <v>8043.666666666667</v>
      </c>
    </row>
    <row r="31" spans="1:3" x14ac:dyDescent="0.35">
      <c r="A31" s="1">
        <v>60027</v>
      </c>
      <c r="C31" s="13">
        <v>8175.666666666667</v>
      </c>
    </row>
    <row r="32" spans="1:3" x14ac:dyDescent="0.35">
      <c r="A32" s="1">
        <v>60064</v>
      </c>
      <c r="C32" s="13">
        <v>8282.3333333333339</v>
      </c>
    </row>
    <row r="33" spans="1:3" x14ac:dyDescent="0.35">
      <c r="A33" s="1">
        <v>60113</v>
      </c>
      <c r="C33" s="13">
        <v>9472.6666666666661</v>
      </c>
    </row>
    <row r="34" spans="1:3" x14ac:dyDescent="0.35">
      <c r="A34" s="1">
        <v>60001</v>
      </c>
      <c r="C34" s="13">
        <v>9564.3333333333339</v>
      </c>
    </row>
    <row r="35" spans="1:3" x14ac:dyDescent="0.35">
      <c r="A35" s="1">
        <v>60014</v>
      </c>
      <c r="C35" s="13">
        <v>10249.666666666666</v>
      </c>
    </row>
    <row r="36" spans="1:3" x14ac:dyDescent="0.35">
      <c r="A36" s="1">
        <v>60032</v>
      </c>
      <c r="C36" s="13">
        <v>10880.666666666666</v>
      </c>
    </row>
    <row r="37" spans="1:3" x14ac:dyDescent="0.35">
      <c r="A37" s="1">
        <v>60015</v>
      </c>
      <c r="C37" s="13">
        <v>12006.666666666666</v>
      </c>
    </row>
    <row r="38" spans="1:3" x14ac:dyDescent="0.35">
      <c r="A38" s="1">
        <v>60119</v>
      </c>
      <c r="C38" s="13">
        <v>12434.666666666666</v>
      </c>
    </row>
    <row r="39" spans="1:3" x14ac:dyDescent="0.35">
      <c r="A39" s="1">
        <v>60116</v>
      </c>
      <c r="C39" s="13">
        <v>12499.666666666666</v>
      </c>
    </row>
    <row r="40" spans="1:3" x14ac:dyDescent="0.35">
      <c r="A40" s="1">
        <v>60009</v>
      </c>
      <c r="C40" s="13">
        <v>13553</v>
      </c>
    </row>
    <row r="41" spans="1:3" x14ac:dyDescent="0.35">
      <c r="A41" s="1">
        <v>60010</v>
      </c>
      <c r="C41" s="13">
        <v>14363</v>
      </c>
    </row>
    <row r="42" spans="1:3" x14ac:dyDescent="0.35">
      <c r="A42" s="1">
        <v>60023</v>
      </c>
      <c r="C42" s="13">
        <v>14946.333333333334</v>
      </c>
    </row>
    <row r="43" spans="1:3" x14ac:dyDescent="0.35">
      <c r="A43" s="1">
        <v>60020</v>
      </c>
      <c r="C43" s="13">
        <v>16133.333333333334</v>
      </c>
    </row>
    <row r="44" spans="1:3" x14ac:dyDescent="0.35">
      <c r="A44" s="1">
        <v>60112</v>
      </c>
      <c r="C44" s="13">
        <v>16168.333333333334</v>
      </c>
    </row>
    <row r="45" spans="1:3" x14ac:dyDescent="0.35">
      <c r="A45" s="1">
        <v>60100</v>
      </c>
      <c r="C45" s="13">
        <v>16496</v>
      </c>
    </row>
    <row r="46" spans="1:3" x14ac:dyDescent="0.35">
      <c r="A46" s="1">
        <v>60028</v>
      </c>
      <c r="C46" s="13">
        <v>17726</v>
      </c>
    </row>
    <row r="47" spans="1:3" x14ac:dyDescent="0.35">
      <c r="A47" s="1">
        <v>60011</v>
      </c>
      <c r="C47" s="13">
        <v>19381.333333333332</v>
      </c>
    </row>
    <row r="48" spans="1:3" x14ac:dyDescent="0.35">
      <c r="A48" s="1">
        <v>60034</v>
      </c>
      <c r="C48" s="13">
        <v>20258.333333333332</v>
      </c>
    </row>
    <row r="49" spans="1:3" x14ac:dyDescent="0.35">
      <c r="A49" s="1">
        <v>60031</v>
      </c>
      <c r="C49" s="13">
        <v>24862.333333333332</v>
      </c>
    </row>
    <row r="50" spans="1:3" x14ac:dyDescent="0.35">
      <c r="A50" s="1">
        <v>60022</v>
      </c>
      <c r="C50" s="13">
        <v>25487.666666666668</v>
      </c>
    </row>
    <row r="51" spans="1:3" x14ac:dyDescent="0.35">
      <c r="A51" s="1">
        <v>60024</v>
      </c>
      <c r="C51" s="13">
        <v>32526.666666666668</v>
      </c>
    </row>
    <row r="52" spans="1:3" x14ac:dyDescent="0.35">
      <c r="C52" s="13"/>
    </row>
    <row r="53" spans="1:3" x14ac:dyDescent="0.35">
      <c r="C53" s="13" t="s">
        <v>5</v>
      </c>
    </row>
    <row r="54" spans="1:3" x14ac:dyDescent="0.35">
      <c r="C54" s="13"/>
    </row>
    <row r="56" spans="1:3" x14ac:dyDescent="0.35">
      <c r="C56" s="13"/>
    </row>
    <row r="57" spans="1:3" x14ac:dyDescent="0.35">
      <c r="C57" s="13"/>
    </row>
    <row r="58" spans="1:3" x14ac:dyDescent="0.35">
      <c r="C58" s="13"/>
    </row>
    <row r="59" spans="1:3" x14ac:dyDescent="0.35">
      <c r="C59" s="13"/>
    </row>
    <row r="60" spans="1:3" x14ac:dyDescent="0.35">
      <c r="C60" s="13"/>
    </row>
    <row r="61" spans="1:3" x14ac:dyDescent="0.35">
      <c r="C61" s="13"/>
    </row>
    <row r="62" spans="1:3" x14ac:dyDescent="0.35">
      <c r="C62" s="13"/>
    </row>
    <row r="63" spans="1:3" x14ac:dyDescent="0.35">
      <c r="C63" s="13"/>
    </row>
    <row r="64" spans="1:3" x14ac:dyDescent="0.35">
      <c r="C64" s="13"/>
    </row>
    <row r="65" spans="3:3" x14ac:dyDescent="0.35">
      <c r="C65" s="13"/>
    </row>
    <row r="66" spans="3:3" x14ac:dyDescent="0.35">
      <c r="C66" s="13"/>
    </row>
    <row r="67" spans="3:3" x14ac:dyDescent="0.35">
      <c r="C67" s="13"/>
    </row>
    <row r="68" spans="3:3" x14ac:dyDescent="0.35">
      <c r="C68" s="13"/>
    </row>
    <row r="69" spans="3:3" x14ac:dyDescent="0.35">
      <c r="C69" s="13"/>
    </row>
    <row r="70" spans="3:3" x14ac:dyDescent="0.35">
      <c r="C70" s="13"/>
    </row>
    <row r="71" spans="3:3" x14ac:dyDescent="0.35">
      <c r="C71" s="13"/>
    </row>
    <row r="72" spans="3:3" x14ac:dyDescent="0.35">
      <c r="C72" s="13"/>
    </row>
    <row r="73" spans="3:3" x14ac:dyDescent="0.35">
      <c r="C73" s="13"/>
    </row>
    <row r="74" spans="3:3" x14ac:dyDescent="0.35">
      <c r="C74" s="13"/>
    </row>
    <row r="75" spans="3:3" x14ac:dyDescent="0.35">
      <c r="C75" s="13"/>
    </row>
    <row r="76" spans="3:3" x14ac:dyDescent="0.35">
      <c r="C76" s="13"/>
    </row>
    <row r="77" spans="3:3" x14ac:dyDescent="0.35">
      <c r="C77" s="13"/>
    </row>
    <row r="78" spans="3:3" x14ac:dyDescent="0.35">
      <c r="C78" s="13"/>
    </row>
    <row r="79" spans="3:3" x14ac:dyDescent="0.35">
      <c r="C79" s="13"/>
    </row>
    <row r="80" spans="3:3" x14ac:dyDescent="0.35">
      <c r="C80" s="13"/>
    </row>
    <row r="81" spans="3:3" x14ac:dyDescent="0.35">
      <c r="C81" s="13"/>
    </row>
    <row r="82" spans="3:3" x14ac:dyDescent="0.35">
      <c r="C82" s="13"/>
    </row>
    <row r="83" spans="3:3" x14ac:dyDescent="0.35">
      <c r="C83" s="13"/>
    </row>
  </sheetData>
  <sortState xmlns:xlrd2="http://schemas.microsoft.com/office/spreadsheetml/2017/richdata2" ref="A2:C51">
    <sortCondition ref="C2:C51"/>
  </sortState>
  <phoneticPr fontId="17" type="noConversion"/>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4F18B2-7103-4B5D-91B0-8256C831469E}">
  <sheetPr>
    <tabColor rgb="FF00B050"/>
  </sheetPr>
  <dimension ref="A1:AL86"/>
  <sheetViews>
    <sheetView zoomScale="120" zoomScaleNormal="120" workbookViewId="0">
      <pane ySplit="1" topLeftCell="A2" activePane="bottomLeft" state="frozen"/>
      <selection activeCell="C2" sqref="C2:C14"/>
      <selection pane="bottomLeft" activeCell="A2" sqref="A2"/>
    </sheetView>
  </sheetViews>
  <sheetFormatPr defaultRowHeight="14.5" x14ac:dyDescent="0.35"/>
  <cols>
    <col min="1" max="1" width="9.1796875" style="1"/>
    <col min="2" max="2" width="30.1796875" style="179" hidden="1" customWidth="1"/>
    <col min="3" max="3" width="13.81640625" style="1" customWidth="1"/>
    <col min="4" max="4" width="21.453125" style="268" customWidth="1"/>
    <col min="5" max="5" width="21.54296875" style="1" customWidth="1"/>
    <col min="6" max="6" width="22.81640625" style="1" customWidth="1"/>
    <col min="7" max="7" width="2.453125" style="11" customWidth="1"/>
    <col min="8" max="8" width="23.54296875" style="11" bestFit="1" customWidth="1"/>
    <col min="9" max="15" width="8.81640625" style="11"/>
    <col min="16" max="16" width="31.08984375" style="11" customWidth="1"/>
    <col min="17" max="38" width="8.81640625" style="11"/>
  </cols>
  <sheetData>
    <row r="1" spans="1:17" ht="50.5" customHeight="1" x14ac:dyDescent="0.35">
      <c r="A1" s="3" t="s">
        <v>0</v>
      </c>
      <c r="B1" s="169"/>
      <c r="C1" s="165" t="s">
        <v>181</v>
      </c>
      <c r="D1" s="165" t="s">
        <v>241</v>
      </c>
      <c r="E1" s="165" t="s">
        <v>191</v>
      </c>
      <c r="F1" s="165" t="s">
        <v>192</v>
      </c>
    </row>
    <row r="2" spans="1:17" ht="15" customHeight="1" x14ac:dyDescent="0.35">
      <c r="A2" s="161">
        <v>60001</v>
      </c>
      <c r="B2" s="177"/>
      <c r="C2" s="166">
        <v>0</v>
      </c>
      <c r="D2" s="266" t="s">
        <v>182</v>
      </c>
      <c r="E2" s="167">
        <v>0.34764492760119148</v>
      </c>
      <c r="F2" s="167">
        <v>0.1391715948956484</v>
      </c>
      <c r="J2" s="153"/>
      <c r="K2" s="153"/>
      <c r="L2" s="153"/>
      <c r="M2" s="153"/>
      <c r="N2" s="153"/>
      <c r="O2" s="153"/>
      <c r="P2" s="153"/>
      <c r="Q2" s="153"/>
    </row>
    <row r="3" spans="1:17" ht="15" customHeight="1" x14ac:dyDescent="0.35">
      <c r="A3" s="161">
        <v>60003</v>
      </c>
      <c r="B3" s="177"/>
      <c r="C3" s="166">
        <v>0</v>
      </c>
      <c r="D3" s="266" t="s">
        <v>188</v>
      </c>
      <c r="E3" s="167">
        <v>0.2620294287494247</v>
      </c>
      <c r="F3" s="167">
        <v>0.17348354525539531</v>
      </c>
      <c r="J3" s="153"/>
      <c r="K3" s="153"/>
      <c r="L3" s="153"/>
      <c r="M3" s="153"/>
      <c r="N3" s="153"/>
      <c r="O3" s="153"/>
      <c r="P3" s="153"/>
      <c r="Q3" s="153"/>
    </row>
    <row r="4" spans="1:17" ht="15" customHeight="1" x14ac:dyDescent="0.35">
      <c r="A4" s="161">
        <v>60004</v>
      </c>
      <c r="B4" s="177"/>
      <c r="C4" s="166">
        <v>0</v>
      </c>
      <c r="D4" s="266" t="s">
        <v>184</v>
      </c>
      <c r="E4" s="167">
        <v>0.33240189508677004</v>
      </c>
      <c r="F4" s="167">
        <v>0.10585166821507379</v>
      </c>
      <c r="H4" s="334" t="s">
        <v>254</v>
      </c>
      <c r="I4" s="334"/>
      <c r="J4" s="334"/>
      <c r="K4" s="334"/>
      <c r="L4" s="334"/>
      <c r="M4" s="334"/>
      <c r="N4" s="334"/>
      <c r="O4" s="334"/>
      <c r="P4" s="334"/>
      <c r="Q4" s="153"/>
    </row>
    <row r="5" spans="1:17" ht="15" customHeight="1" x14ac:dyDescent="0.35">
      <c r="A5" s="161">
        <v>60006</v>
      </c>
      <c r="B5" s="177"/>
      <c r="C5" s="166">
        <v>1</v>
      </c>
      <c r="D5" s="266" t="s">
        <v>5</v>
      </c>
      <c r="E5" s="167">
        <v>0.24436936364331976</v>
      </c>
      <c r="F5" s="167">
        <v>0.11687154888319992</v>
      </c>
      <c r="H5" s="334"/>
      <c r="I5" s="334"/>
      <c r="J5" s="334"/>
      <c r="K5" s="334"/>
      <c r="L5" s="334"/>
      <c r="M5" s="334"/>
      <c r="N5" s="334"/>
      <c r="O5" s="334"/>
      <c r="P5" s="334"/>
      <c r="Q5" s="153"/>
    </row>
    <row r="6" spans="1:17" ht="16.25" customHeight="1" x14ac:dyDescent="0.35">
      <c r="A6" s="174">
        <v>60008</v>
      </c>
      <c r="B6" s="178"/>
      <c r="C6" s="172">
        <v>1</v>
      </c>
      <c r="D6" s="267" t="s">
        <v>185</v>
      </c>
      <c r="E6" s="168">
        <v>0.31800945613911286</v>
      </c>
      <c r="F6" s="168">
        <v>4.6118567278458894E-2</v>
      </c>
      <c r="H6" s="334"/>
      <c r="I6" s="334"/>
      <c r="J6" s="334"/>
      <c r="K6" s="334"/>
      <c r="L6" s="334"/>
      <c r="M6" s="334"/>
      <c r="N6" s="334"/>
      <c r="O6" s="334"/>
      <c r="P6" s="334"/>
      <c r="Q6" s="153"/>
    </row>
    <row r="7" spans="1:17" ht="14.5" customHeight="1" x14ac:dyDescent="0.35">
      <c r="A7" s="161">
        <v>60009</v>
      </c>
      <c r="B7" s="177"/>
      <c r="C7" s="166">
        <v>0</v>
      </c>
      <c r="D7" s="266" t="s">
        <v>184</v>
      </c>
      <c r="E7" s="167">
        <v>0.27120585562889893</v>
      </c>
      <c r="F7" s="167">
        <v>0.10585166821507379</v>
      </c>
      <c r="H7" s="334"/>
      <c r="I7" s="334"/>
      <c r="J7" s="334"/>
      <c r="K7" s="334"/>
      <c r="L7" s="334"/>
      <c r="M7" s="334"/>
      <c r="N7" s="334"/>
      <c r="O7" s="334"/>
      <c r="P7" s="334"/>
      <c r="Q7" s="153"/>
    </row>
    <row r="8" spans="1:17" ht="14.5" customHeight="1" x14ac:dyDescent="0.35">
      <c r="A8" s="161">
        <v>60010</v>
      </c>
      <c r="B8" s="177"/>
      <c r="C8" s="166">
        <v>0</v>
      </c>
      <c r="D8" s="266" t="s">
        <v>183</v>
      </c>
      <c r="E8" s="167">
        <v>0.24114238154921017</v>
      </c>
      <c r="F8" s="167">
        <v>0.21432075498658751</v>
      </c>
      <c r="H8" s="334"/>
      <c r="I8" s="334"/>
      <c r="J8" s="334"/>
      <c r="K8" s="334"/>
      <c r="L8" s="334"/>
      <c r="M8" s="334"/>
      <c r="N8" s="334"/>
      <c r="O8" s="334"/>
      <c r="P8" s="334"/>
      <c r="Q8" s="153"/>
    </row>
    <row r="9" spans="1:17" ht="14.5" customHeight="1" x14ac:dyDescent="0.35">
      <c r="A9" s="161">
        <v>60011</v>
      </c>
      <c r="B9" s="177"/>
      <c r="C9" s="166">
        <v>0</v>
      </c>
      <c r="D9" s="266" t="s">
        <v>5</v>
      </c>
      <c r="E9" s="167">
        <v>0.59011920107264459</v>
      </c>
      <c r="F9" s="167">
        <v>5.4586645379101045E-2</v>
      </c>
      <c r="H9" s="334"/>
      <c r="I9" s="334"/>
      <c r="J9" s="334"/>
      <c r="K9" s="334"/>
      <c r="L9" s="334"/>
      <c r="M9" s="334"/>
      <c r="N9" s="334"/>
      <c r="O9" s="334"/>
      <c r="P9" s="334"/>
      <c r="Q9" s="153"/>
    </row>
    <row r="10" spans="1:17" ht="14.5" customHeight="1" x14ac:dyDescent="0.35">
      <c r="A10" s="161">
        <v>60012</v>
      </c>
      <c r="B10" s="177"/>
      <c r="C10" s="166">
        <v>0</v>
      </c>
      <c r="D10" s="266" t="s">
        <v>188</v>
      </c>
      <c r="E10" s="167">
        <v>0.26948863924332156</v>
      </c>
      <c r="F10" s="167">
        <v>0.17348354525539531</v>
      </c>
      <c r="H10" s="334"/>
      <c r="I10" s="334"/>
      <c r="J10" s="334"/>
      <c r="K10" s="334"/>
      <c r="L10" s="334"/>
      <c r="M10" s="334"/>
      <c r="N10" s="334"/>
      <c r="O10" s="334"/>
      <c r="P10" s="334"/>
      <c r="Q10" s="153"/>
    </row>
    <row r="11" spans="1:17" ht="15" customHeight="1" x14ac:dyDescent="0.35">
      <c r="A11" s="161">
        <v>60013</v>
      </c>
      <c r="B11" s="177"/>
      <c r="C11" s="166">
        <v>1</v>
      </c>
      <c r="D11" s="266" t="s">
        <v>188</v>
      </c>
      <c r="E11" s="167">
        <v>0.27808096050773434</v>
      </c>
      <c r="F11" s="167">
        <v>0.1935478034103944</v>
      </c>
      <c r="H11" s="334"/>
      <c r="I11" s="334"/>
      <c r="J11" s="334"/>
      <c r="K11" s="334"/>
      <c r="L11" s="334"/>
      <c r="M11" s="334"/>
      <c r="N11" s="334"/>
      <c r="O11" s="334"/>
      <c r="P11" s="334"/>
      <c r="Q11" s="153"/>
    </row>
    <row r="12" spans="1:17" x14ac:dyDescent="0.35">
      <c r="A12" s="161">
        <v>60014</v>
      </c>
      <c r="B12" s="177"/>
      <c r="C12" s="166">
        <v>0</v>
      </c>
      <c r="D12" s="266" t="s">
        <v>186</v>
      </c>
      <c r="E12" s="167">
        <v>0.43429265717677562</v>
      </c>
      <c r="F12" s="167">
        <v>0.30309611620254395</v>
      </c>
      <c r="H12" s="334"/>
      <c r="I12" s="334"/>
      <c r="J12" s="334"/>
      <c r="K12" s="334"/>
      <c r="L12" s="334"/>
      <c r="M12" s="334"/>
      <c r="N12" s="334"/>
      <c r="O12" s="334"/>
      <c r="P12" s="334"/>
      <c r="Q12" s="153"/>
    </row>
    <row r="13" spans="1:17" x14ac:dyDescent="0.35">
      <c r="A13" s="161">
        <v>60015</v>
      </c>
      <c r="B13" s="177"/>
      <c r="C13" s="166">
        <v>0</v>
      </c>
      <c r="D13" s="266" t="s">
        <v>188</v>
      </c>
      <c r="E13" s="167">
        <v>0.23399793864485105</v>
      </c>
      <c r="F13" s="167">
        <v>0.17348354525539531</v>
      </c>
      <c r="H13" s="334"/>
      <c r="I13" s="334"/>
      <c r="J13" s="334"/>
      <c r="K13" s="334"/>
      <c r="L13" s="334"/>
      <c r="M13" s="334"/>
      <c r="N13" s="334"/>
      <c r="O13" s="334"/>
      <c r="P13" s="334"/>
      <c r="Q13" s="153"/>
    </row>
    <row r="14" spans="1:17" x14ac:dyDescent="0.35">
      <c r="A14" s="161">
        <v>60020</v>
      </c>
      <c r="B14" s="177"/>
      <c r="C14" s="166">
        <v>0</v>
      </c>
      <c r="D14" s="266" t="s">
        <v>5</v>
      </c>
      <c r="E14" s="167">
        <v>0.31416041444296483</v>
      </c>
      <c r="F14" s="167">
        <v>4.6386708192116467E-2</v>
      </c>
      <c r="H14" s="334"/>
      <c r="I14" s="334"/>
      <c r="J14" s="334"/>
      <c r="K14" s="334"/>
      <c r="L14" s="334"/>
      <c r="M14" s="334"/>
      <c r="N14" s="334"/>
      <c r="O14" s="334"/>
      <c r="P14" s="334"/>
      <c r="Q14" s="153"/>
    </row>
    <row r="15" spans="1:17" x14ac:dyDescent="0.35">
      <c r="A15" s="161">
        <v>60022</v>
      </c>
      <c r="B15" s="177"/>
      <c r="C15" s="166">
        <v>0</v>
      </c>
      <c r="D15" s="266" t="s">
        <v>183</v>
      </c>
      <c r="E15" s="167">
        <v>0.3797490032019773</v>
      </c>
      <c r="F15" s="167">
        <v>0.13338686543931746</v>
      </c>
      <c r="H15" s="334"/>
      <c r="I15" s="334"/>
      <c r="J15" s="334"/>
      <c r="K15" s="334"/>
      <c r="L15" s="334"/>
      <c r="M15" s="334"/>
      <c r="N15" s="334"/>
      <c r="O15" s="334"/>
      <c r="P15" s="334"/>
      <c r="Q15" s="153"/>
    </row>
    <row r="16" spans="1:17" x14ac:dyDescent="0.35">
      <c r="A16" s="161">
        <v>60023</v>
      </c>
      <c r="B16" s="177"/>
      <c r="C16" s="166">
        <v>0</v>
      </c>
      <c r="D16" s="266" t="s">
        <v>184</v>
      </c>
      <c r="E16" s="167">
        <v>0.30666466077809407</v>
      </c>
      <c r="F16" s="167">
        <v>0.11351397147287054</v>
      </c>
      <c r="H16" s="334"/>
      <c r="I16" s="334"/>
      <c r="J16" s="334"/>
      <c r="K16" s="334"/>
      <c r="L16" s="334"/>
      <c r="M16" s="334"/>
      <c r="N16" s="334"/>
      <c r="O16" s="334"/>
      <c r="P16" s="334"/>
      <c r="Q16" s="153"/>
    </row>
    <row r="17" spans="1:17" x14ac:dyDescent="0.35">
      <c r="A17" s="161">
        <v>60024</v>
      </c>
      <c r="B17" s="177"/>
      <c r="C17" s="166">
        <v>0</v>
      </c>
      <c r="D17" s="266" t="s">
        <v>183</v>
      </c>
      <c r="E17" s="167">
        <v>0.32430805129406837</v>
      </c>
      <c r="F17" s="167">
        <v>0.16040399899090155</v>
      </c>
      <c r="H17" s="334"/>
      <c r="I17" s="334"/>
      <c r="J17" s="334"/>
      <c r="K17" s="334"/>
      <c r="L17" s="334"/>
      <c r="M17" s="334"/>
      <c r="N17" s="334"/>
      <c r="O17" s="334"/>
      <c r="P17" s="334"/>
      <c r="Q17" s="153"/>
    </row>
    <row r="18" spans="1:17" x14ac:dyDescent="0.35">
      <c r="A18" s="161">
        <v>60027</v>
      </c>
      <c r="B18" s="177"/>
      <c r="C18" s="166">
        <v>0</v>
      </c>
      <c r="D18" s="266" t="s">
        <v>5</v>
      </c>
      <c r="E18" s="167">
        <v>0.17040005752830398</v>
      </c>
      <c r="F18" s="167">
        <v>4.5541142573639608E-2</v>
      </c>
      <c r="H18" s="334"/>
      <c r="I18" s="334"/>
      <c r="J18" s="334"/>
      <c r="K18" s="334"/>
      <c r="L18" s="334"/>
      <c r="M18" s="334"/>
      <c r="N18" s="334"/>
      <c r="O18" s="334"/>
      <c r="P18" s="334"/>
      <c r="Q18" s="153"/>
    </row>
    <row r="19" spans="1:17" x14ac:dyDescent="0.35">
      <c r="A19" s="161">
        <v>60028</v>
      </c>
      <c r="B19" s="177"/>
      <c r="C19" s="166">
        <v>0</v>
      </c>
      <c r="D19" s="266" t="s">
        <v>184</v>
      </c>
      <c r="E19" s="167">
        <v>0.2748569084669702</v>
      </c>
      <c r="F19" s="167">
        <v>0.12874449123715759</v>
      </c>
      <c r="H19" s="334"/>
      <c r="I19" s="334"/>
      <c r="J19" s="334"/>
      <c r="K19" s="334"/>
      <c r="L19" s="334"/>
      <c r="M19" s="334"/>
      <c r="N19" s="334"/>
      <c r="O19" s="334"/>
      <c r="P19" s="334"/>
      <c r="Q19" s="153"/>
    </row>
    <row r="20" spans="1:17" x14ac:dyDescent="0.35">
      <c r="A20" s="161">
        <v>60030</v>
      </c>
      <c r="B20" s="177"/>
      <c r="C20" s="166">
        <v>0</v>
      </c>
      <c r="D20" s="266" t="s">
        <v>182</v>
      </c>
      <c r="E20" s="167">
        <v>0.26072906058357864</v>
      </c>
      <c r="F20" s="167">
        <v>0.18321385971320323</v>
      </c>
      <c r="J20" s="153"/>
      <c r="K20" s="153"/>
      <c r="L20" s="153"/>
      <c r="M20" s="153"/>
      <c r="N20" s="153"/>
      <c r="O20" s="153"/>
      <c r="P20" s="153"/>
      <c r="Q20" s="153"/>
    </row>
    <row r="21" spans="1:17" x14ac:dyDescent="0.35">
      <c r="A21" s="161">
        <v>60031</v>
      </c>
      <c r="B21" s="177"/>
      <c r="C21" s="166">
        <v>0</v>
      </c>
      <c r="D21" s="266" t="s">
        <v>188</v>
      </c>
      <c r="E21" s="167">
        <v>0.25632387022747477</v>
      </c>
      <c r="F21" s="167">
        <v>0.17348354525539531</v>
      </c>
      <c r="J21" s="153"/>
      <c r="K21" s="153"/>
      <c r="L21" s="153"/>
      <c r="M21" s="153"/>
      <c r="N21" s="153"/>
      <c r="O21" s="153"/>
      <c r="P21" s="153"/>
      <c r="Q21" s="153"/>
    </row>
    <row r="22" spans="1:17" x14ac:dyDescent="0.35">
      <c r="A22" s="161">
        <v>60032</v>
      </c>
      <c r="B22" s="177"/>
      <c r="C22" s="166">
        <v>0</v>
      </c>
      <c r="D22" s="266" t="s">
        <v>186</v>
      </c>
      <c r="E22" s="167">
        <v>0.24596550038421003</v>
      </c>
      <c r="F22" s="167">
        <v>0.26778066516373411</v>
      </c>
      <c r="J22" s="153"/>
      <c r="K22" s="153"/>
      <c r="L22" s="153"/>
      <c r="M22" s="153"/>
      <c r="N22" s="153"/>
      <c r="O22" s="153"/>
      <c r="P22" s="153"/>
      <c r="Q22" s="153"/>
    </row>
    <row r="23" spans="1:17" x14ac:dyDescent="0.35">
      <c r="A23" s="161">
        <v>60034</v>
      </c>
      <c r="B23" s="177"/>
      <c r="C23" s="166">
        <v>0</v>
      </c>
      <c r="D23" s="266" t="s">
        <v>186</v>
      </c>
      <c r="E23" s="167">
        <v>0.25898508814313914</v>
      </c>
      <c r="F23" s="167">
        <v>0.2878283770587704</v>
      </c>
      <c r="J23" s="153"/>
      <c r="K23" s="153"/>
      <c r="L23" s="153"/>
      <c r="M23" s="153"/>
      <c r="N23" s="153"/>
      <c r="O23" s="153"/>
      <c r="P23" s="153"/>
      <c r="Q23" s="153"/>
    </row>
    <row r="24" spans="1:17" x14ac:dyDescent="0.35">
      <c r="A24" s="161">
        <v>60044</v>
      </c>
      <c r="B24" s="177"/>
      <c r="C24" s="166">
        <v>1</v>
      </c>
      <c r="D24" s="266" t="s">
        <v>189</v>
      </c>
      <c r="E24" s="167">
        <v>0.38532860062944208</v>
      </c>
      <c r="F24" s="167">
        <v>0.21620463277684263</v>
      </c>
      <c r="J24" s="153"/>
      <c r="K24" s="153"/>
      <c r="L24" s="153"/>
      <c r="M24" s="153"/>
      <c r="N24" s="153"/>
      <c r="O24" s="153"/>
      <c r="P24" s="153"/>
      <c r="Q24" s="153"/>
    </row>
    <row r="25" spans="1:17" x14ac:dyDescent="0.35">
      <c r="A25" s="161">
        <v>60049</v>
      </c>
      <c r="B25" s="177"/>
      <c r="C25" s="166">
        <v>1</v>
      </c>
      <c r="D25" s="266" t="s">
        <v>183</v>
      </c>
      <c r="E25" s="167">
        <v>0.23798016876459707</v>
      </c>
      <c r="F25" s="167">
        <v>0.13338686543931746</v>
      </c>
      <c r="J25" s="153"/>
      <c r="K25" s="153"/>
      <c r="L25" s="153"/>
      <c r="M25" s="153"/>
      <c r="N25" s="153"/>
      <c r="O25" s="153"/>
      <c r="P25" s="153"/>
      <c r="Q25" s="153"/>
    </row>
    <row r="26" spans="1:17" x14ac:dyDescent="0.35">
      <c r="A26" s="161">
        <v>60054</v>
      </c>
      <c r="B26" s="177"/>
      <c r="C26" s="166">
        <v>0</v>
      </c>
      <c r="D26" s="266" t="s">
        <v>5</v>
      </c>
      <c r="E26" s="167">
        <v>0.22295543974157031</v>
      </c>
      <c r="F26" s="167">
        <v>0.13825362595358545</v>
      </c>
      <c r="J26" s="153"/>
      <c r="K26" s="153"/>
      <c r="L26" s="153"/>
      <c r="M26" s="153"/>
      <c r="N26" s="153"/>
      <c r="O26" s="153"/>
      <c r="P26" s="153"/>
      <c r="Q26" s="153"/>
    </row>
    <row r="27" spans="1:17" x14ac:dyDescent="0.35">
      <c r="A27" s="161">
        <v>60064</v>
      </c>
      <c r="B27" s="177"/>
      <c r="C27" s="166">
        <v>0</v>
      </c>
      <c r="D27" s="266" t="s">
        <v>187</v>
      </c>
      <c r="E27" s="167">
        <v>0.20133742727131085</v>
      </c>
      <c r="F27" s="167">
        <v>0.14318971926993548</v>
      </c>
      <c r="J27" s="153"/>
      <c r="K27" s="153"/>
      <c r="L27" s="153"/>
      <c r="M27" s="153"/>
      <c r="N27" s="153"/>
      <c r="O27" s="153"/>
      <c r="P27" s="153"/>
      <c r="Q27" s="153"/>
    </row>
    <row r="28" spans="1:17" x14ac:dyDescent="0.35">
      <c r="A28" s="161">
        <v>60065</v>
      </c>
      <c r="B28" s="177"/>
      <c r="C28" s="166">
        <v>0</v>
      </c>
      <c r="D28" s="266" t="s">
        <v>186</v>
      </c>
      <c r="E28" s="167">
        <v>0.40038419588852175</v>
      </c>
      <c r="F28" s="167">
        <v>0.26778066516373411</v>
      </c>
      <c r="J28" s="153"/>
      <c r="K28" s="153"/>
      <c r="L28" s="153"/>
      <c r="M28" s="153"/>
      <c r="N28" s="153"/>
      <c r="O28" s="153"/>
      <c r="P28" s="153"/>
      <c r="Q28" s="153"/>
    </row>
    <row r="29" spans="1:17" x14ac:dyDescent="0.35">
      <c r="A29" s="161">
        <v>60071</v>
      </c>
      <c r="B29" s="177"/>
      <c r="C29" s="166">
        <v>1</v>
      </c>
      <c r="D29" s="266" t="s">
        <v>5</v>
      </c>
      <c r="E29" s="167">
        <v>0.19470079910080854</v>
      </c>
      <c r="F29" s="167">
        <v>-6.9917292791667723E-2</v>
      </c>
      <c r="J29" s="153"/>
      <c r="K29" s="153"/>
      <c r="L29" s="153"/>
      <c r="M29" s="153"/>
      <c r="N29" s="153"/>
      <c r="O29" s="153"/>
      <c r="P29" s="153"/>
      <c r="Q29" s="153"/>
    </row>
    <row r="30" spans="1:17" x14ac:dyDescent="0.35">
      <c r="A30" s="161">
        <v>60075</v>
      </c>
      <c r="B30" s="177"/>
      <c r="C30" s="166">
        <v>1</v>
      </c>
      <c r="D30" s="266" t="s">
        <v>5</v>
      </c>
      <c r="E30" s="167">
        <v>0.39289259190996151</v>
      </c>
      <c r="F30" s="167">
        <v>0.11997704566822538</v>
      </c>
      <c r="J30" s="153"/>
      <c r="K30" s="153"/>
      <c r="L30" s="153"/>
      <c r="M30" s="153"/>
      <c r="N30" s="153"/>
      <c r="O30" s="153"/>
      <c r="P30" s="153"/>
      <c r="Q30" s="153"/>
    </row>
    <row r="31" spans="1:17" x14ac:dyDescent="0.35">
      <c r="A31" s="161">
        <v>60076</v>
      </c>
      <c r="B31" s="177"/>
      <c r="C31" s="166">
        <v>1</v>
      </c>
      <c r="D31" s="266" t="s">
        <v>182</v>
      </c>
      <c r="E31" s="167">
        <v>0.29370994414154694</v>
      </c>
      <c r="F31" s="167">
        <v>0.19896943586400453</v>
      </c>
      <c r="J31" s="153"/>
      <c r="K31" s="153"/>
      <c r="L31" s="153"/>
      <c r="M31" s="153"/>
      <c r="N31" s="153"/>
      <c r="O31" s="153"/>
      <c r="P31" s="153"/>
      <c r="Q31" s="153"/>
    </row>
    <row r="32" spans="1:17" x14ac:dyDescent="0.35">
      <c r="A32" s="161">
        <v>60096</v>
      </c>
      <c r="B32" s="177"/>
      <c r="C32" s="166">
        <v>1</v>
      </c>
      <c r="D32" s="266" t="s">
        <v>5</v>
      </c>
      <c r="E32" s="167">
        <v>0.1586942320757706</v>
      </c>
      <c r="F32" s="167">
        <v>8.5657151842766385E-2</v>
      </c>
      <c r="J32" s="153"/>
      <c r="K32" s="153"/>
      <c r="L32" s="153"/>
      <c r="M32" s="153"/>
      <c r="N32" s="153"/>
      <c r="O32" s="153"/>
      <c r="P32" s="153"/>
      <c r="Q32" s="153"/>
    </row>
    <row r="33" spans="1:17" x14ac:dyDescent="0.35">
      <c r="A33" s="161">
        <v>60100</v>
      </c>
      <c r="B33" s="177"/>
      <c r="C33" s="166">
        <v>0</v>
      </c>
      <c r="D33" s="266" t="s">
        <v>186</v>
      </c>
      <c r="E33" s="167">
        <v>0.35015881754252415</v>
      </c>
      <c r="F33" s="167">
        <v>0.26778066516373411</v>
      </c>
      <c r="J33" s="153"/>
      <c r="K33" s="153"/>
      <c r="L33" s="153"/>
      <c r="M33" s="153"/>
      <c r="N33" s="153"/>
      <c r="O33" s="153"/>
      <c r="P33" s="153"/>
      <c r="Q33" s="153"/>
    </row>
    <row r="34" spans="1:17" x14ac:dyDescent="0.35">
      <c r="A34" s="161">
        <v>60103</v>
      </c>
      <c r="B34" s="177"/>
      <c r="C34" s="166">
        <v>0</v>
      </c>
      <c r="D34" s="266" t="s">
        <v>187</v>
      </c>
      <c r="E34" s="167">
        <v>0.3428262346712645</v>
      </c>
      <c r="F34" s="167">
        <v>0.16900368384741246</v>
      </c>
      <c r="J34" s="153"/>
      <c r="K34" s="153"/>
      <c r="L34" s="153"/>
      <c r="M34" s="153"/>
      <c r="N34" s="153"/>
      <c r="O34" s="153"/>
      <c r="P34" s="153"/>
      <c r="Q34" s="153"/>
    </row>
    <row r="35" spans="1:17" x14ac:dyDescent="0.35">
      <c r="A35" s="161">
        <v>60104</v>
      </c>
      <c r="B35" s="177"/>
      <c r="C35" s="166">
        <v>0</v>
      </c>
      <c r="D35" s="266" t="s">
        <v>188</v>
      </c>
      <c r="E35" s="167">
        <v>0.27204346252498118</v>
      </c>
      <c r="F35" s="167">
        <v>0.18884245562973237</v>
      </c>
      <c r="J35" s="153"/>
      <c r="K35" s="153"/>
      <c r="L35" s="153"/>
      <c r="M35" s="153"/>
      <c r="N35" s="153"/>
      <c r="O35" s="153"/>
      <c r="P35" s="153"/>
      <c r="Q35" s="153"/>
    </row>
    <row r="36" spans="1:17" x14ac:dyDescent="0.35">
      <c r="A36" s="161">
        <v>60107</v>
      </c>
      <c r="B36" s="177"/>
      <c r="C36" s="166">
        <v>0</v>
      </c>
      <c r="D36" s="266" t="s">
        <v>5</v>
      </c>
      <c r="E36" s="167">
        <v>0.30533266637288647</v>
      </c>
      <c r="F36" s="167">
        <v>-1.4788235130575244E-3</v>
      </c>
      <c r="J36" s="153"/>
      <c r="K36" s="153"/>
      <c r="L36" s="153"/>
      <c r="M36" s="153"/>
      <c r="N36" s="153"/>
      <c r="O36" s="153"/>
      <c r="P36" s="153"/>
      <c r="Q36" s="153"/>
    </row>
    <row r="37" spans="1:17" x14ac:dyDescent="0.35">
      <c r="A37" s="161">
        <v>60112</v>
      </c>
      <c r="B37" s="177"/>
      <c r="C37" s="166">
        <v>0</v>
      </c>
      <c r="D37" s="266" t="s">
        <v>186</v>
      </c>
      <c r="E37" s="167">
        <v>0.12600578721808817</v>
      </c>
      <c r="F37" s="167">
        <v>0.34056233173358302</v>
      </c>
      <c r="J37" s="153"/>
      <c r="K37" s="153"/>
      <c r="L37" s="153"/>
      <c r="M37" s="153"/>
      <c r="N37" s="153"/>
      <c r="O37" s="153"/>
      <c r="P37" s="153"/>
      <c r="Q37" s="153"/>
    </row>
    <row r="38" spans="1:17" x14ac:dyDescent="0.35">
      <c r="A38" s="161">
        <v>60113</v>
      </c>
      <c r="B38" s="177"/>
      <c r="C38" s="166">
        <v>0</v>
      </c>
      <c r="D38" s="266" t="s">
        <v>187</v>
      </c>
      <c r="E38" s="167">
        <v>0.14268493076870162</v>
      </c>
      <c r="F38" s="167">
        <v>0.16789321943158358</v>
      </c>
      <c r="J38" s="153"/>
      <c r="K38" s="153"/>
      <c r="L38" s="153"/>
      <c r="M38" s="153"/>
      <c r="N38" s="153"/>
      <c r="O38" s="153"/>
      <c r="P38" s="153"/>
      <c r="Q38" s="153"/>
    </row>
    <row r="39" spans="1:17" x14ac:dyDescent="0.35">
      <c r="A39" s="161">
        <v>60114</v>
      </c>
      <c r="B39" s="177"/>
      <c r="C39" s="166">
        <v>0</v>
      </c>
      <c r="D39" s="266" t="s">
        <v>187</v>
      </c>
      <c r="E39" s="167">
        <v>0.1738671375759171</v>
      </c>
      <c r="F39" s="167">
        <v>0.2361745162603251</v>
      </c>
      <c r="J39" s="153"/>
      <c r="K39" s="153"/>
      <c r="L39" s="153"/>
      <c r="M39" s="153"/>
      <c r="N39" s="153"/>
      <c r="O39" s="153"/>
      <c r="P39" s="153"/>
      <c r="Q39" s="153"/>
    </row>
    <row r="40" spans="1:17" x14ac:dyDescent="0.35">
      <c r="A40" s="161">
        <v>60116</v>
      </c>
      <c r="B40" s="177"/>
      <c r="C40" s="166">
        <v>0</v>
      </c>
      <c r="D40" s="266" t="s">
        <v>184</v>
      </c>
      <c r="E40" s="167">
        <v>0.15431146616121977</v>
      </c>
      <c r="F40" s="167">
        <v>0.1369877643941822</v>
      </c>
      <c r="J40" s="153"/>
      <c r="K40" s="153"/>
      <c r="L40" s="153"/>
      <c r="M40" s="153"/>
      <c r="N40" s="153"/>
      <c r="O40" s="153"/>
      <c r="P40" s="153"/>
      <c r="Q40" s="153"/>
    </row>
    <row r="41" spans="1:17" x14ac:dyDescent="0.35">
      <c r="A41" s="161">
        <v>60117</v>
      </c>
      <c r="B41" s="177"/>
      <c r="C41" s="166">
        <v>1</v>
      </c>
      <c r="D41" s="266" t="s">
        <v>5</v>
      </c>
      <c r="E41" s="167">
        <v>3.2390206950285619E-2</v>
      </c>
      <c r="F41" s="167">
        <v>0.1612768907148826</v>
      </c>
      <c r="J41" s="153"/>
      <c r="K41" s="153"/>
      <c r="L41" s="153"/>
      <c r="M41" s="153"/>
      <c r="N41" s="153"/>
      <c r="O41" s="153"/>
      <c r="P41" s="153"/>
      <c r="Q41" s="153"/>
    </row>
    <row r="42" spans="1:17" x14ac:dyDescent="0.35">
      <c r="A42" s="161">
        <v>60118</v>
      </c>
      <c r="B42" s="177"/>
      <c r="C42" s="166">
        <v>1</v>
      </c>
      <c r="D42" s="266" t="s">
        <v>188</v>
      </c>
      <c r="E42" s="167">
        <v>0.27682155725167323</v>
      </c>
      <c r="F42" s="167">
        <v>0.38649014953642447</v>
      </c>
      <c r="J42" s="153"/>
      <c r="K42" s="153"/>
      <c r="L42" s="153"/>
      <c r="M42" s="153"/>
      <c r="N42" s="153"/>
      <c r="O42" s="153"/>
      <c r="P42" s="153"/>
      <c r="Q42" s="153"/>
    </row>
    <row r="43" spans="1:17" x14ac:dyDescent="0.35">
      <c r="A43" s="161">
        <v>60119</v>
      </c>
      <c r="B43" s="177"/>
      <c r="C43" s="166">
        <v>0</v>
      </c>
      <c r="D43" s="266" t="s">
        <v>183</v>
      </c>
      <c r="E43" s="167">
        <v>0.15372390426306456</v>
      </c>
      <c r="F43" s="167">
        <v>0.20807344131690844</v>
      </c>
      <c r="J43" s="153"/>
      <c r="K43" s="153"/>
      <c r="L43" s="153"/>
      <c r="M43" s="153"/>
      <c r="N43" s="153"/>
      <c r="O43" s="153"/>
      <c r="P43" s="153"/>
      <c r="Q43" s="153"/>
    </row>
    <row r="44" spans="1:17" x14ac:dyDescent="0.35">
      <c r="A44" s="161">
        <v>60124</v>
      </c>
      <c r="B44" s="177"/>
      <c r="C44" s="166">
        <v>0</v>
      </c>
      <c r="D44" s="266" t="s">
        <v>188</v>
      </c>
      <c r="E44" s="167">
        <v>0</v>
      </c>
      <c r="F44" s="167">
        <v>0.36527021128937487</v>
      </c>
      <c r="J44" s="153"/>
      <c r="K44" s="153"/>
      <c r="L44" s="153"/>
      <c r="M44" s="153"/>
      <c r="N44" s="153"/>
      <c r="O44" s="153"/>
      <c r="P44" s="153"/>
      <c r="Q44" s="153"/>
    </row>
    <row r="45" spans="1:17" x14ac:dyDescent="0.35">
      <c r="A45" s="161">
        <v>60125</v>
      </c>
      <c r="B45" s="177"/>
      <c r="C45" s="166">
        <v>0</v>
      </c>
      <c r="D45" s="266" t="s">
        <v>187</v>
      </c>
      <c r="E45" s="167">
        <v>0.18478196629926799</v>
      </c>
      <c r="F45" s="167">
        <v>0.14318971926993548</v>
      </c>
      <c r="J45" s="153"/>
      <c r="K45" s="153"/>
      <c r="L45" s="153"/>
      <c r="M45" s="153"/>
      <c r="N45" s="153"/>
      <c r="O45" s="153"/>
      <c r="P45" s="153"/>
      <c r="Q45" s="153"/>
    </row>
    <row r="46" spans="1:17" x14ac:dyDescent="0.35">
      <c r="A46" s="161">
        <v>60126</v>
      </c>
      <c r="B46" s="177"/>
      <c r="C46" s="166">
        <v>0</v>
      </c>
      <c r="D46" s="266" t="s">
        <v>182</v>
      </c>
      <c r="E46" s="167">
        <v>0.26095772275127804</v>
      </c>
      <c r="F46" s="167">
        <v>0.16474101054817281</v>
      </c>
      <c r="J46" s="153"/>
      <c r="K46" s="153"/>
      <c r="L46" s="153"/>
      <c r="M46" s="153"/>
      <c r="N46" s="153"/>
      <c r="O46" s="153"/>
      <c r="P46" s="153"/>
      <c r="Q46" s="153"/>
    </row>
    <row r="47" spans="1:17" x14ac:dyDescent="0.35">
      <c r="A47" s="161">
        <v>60128</v>
      </c>
      <c r="B47" s="177"/>
      <c r="C47" s="166">
        <v>0</v>
      </c>
      <c r="D47" s="266" t="s">
        <v>183</v>
      </c>
      <c r="E47" s="167">
        <v>0.25114347157915368</v>
      </c>
      <c r="F47" s="167">
        <v>0.13338686543931746</v>
      </c>
      <c r="J47" s="153"/>
      <c r="K47" s="153"/>
      <c r="L47" s="153"/>
      <c r="M47" s="153"/>
      <c r="N47" s="153"/>
      <c r="O47" s="153"/>
      <c r="P47" s="153"/>
      <c r="Q47" s="153"/>
    </row>
    <row r="48" spans="1:17" x14ac:dyDescent="0.35">
      <c r="A48" s="161">
        <v>60129</v>
      </c>
      <c r="B48" s="177"/>
      <c r="C48" s="166">
        <v>0</v>
      </c>
      <c r="D48" s="266" t="s">
        <v>183</v>
      </c>
      <c r="E48" s="167">
        <v>0.529818671650226</v>
      </c>
      <c r="F48" s="167">
        <v>0.13338686543931746</v>
      </c>
      <c r="J48" s="153"/>
      <c r="K48" s="153"/>
      <c r="L48" s="153"/>
      <c r="M48" s="153"/>
      <c r="N48" s="153"/>
      <c r="O48" s="153"/>
      <c r="P48" s="153"/>
      <c r="Q48" s="153"/>
    </row>
    <row r="49" spans="1:17" x14ac:dyDescent="0.35">
      <c r="A49" s="161">
        <v>60130</v>
      </c>
      <c r="B49" s="177"/>
      <c r="C49" s="166">
        <v>0</v>
      </c>
      <c r="D49" s="266" t="s">
        <v>183</v>
      </c>
      <c r="E49" s="167">
        <v>0.17737572921120365</v>
      </c>
      <c r="F49" s="167">
        <v>0.13338686543931746</v>
      </c>
      <c r="J49" s="153"/>
      <c r="K49" s="153"/>
      <c r="L49" s="153"/>
      <c r="M49" s="153"/>
      <c r="N49" s="153"/>
      <c r="O49" s="153"/>
      <c r="P49" s="153"/>
      <c r="Q49" s="153"/>
    </row>
    <row r="50" spans="1:17" x14ac:dyDescent="0.35">
      <c r="A50" s="161">
        <v>60131</v>
      </c>
      <c r="B50" s="177"/>
      <c r="C50" s="166">
        <v>0</v>
      </c>
      <c r="D50" s="266" t="s">
        <v>183</v>
      </c>
      <c r="E50" s="168">
        <v>0</v>
      </c>
      <c r="F50" s="167">
        <v>0.13338686543931746</v>
      </c>
    </row>
    <row r="51" spans="1:17" x14ac:dyDescent="0.35">
      <c r="A51" s="161">
        <v>60132</v>
      </c>
      <c r="B51" s="177"/>
      <c r="C51" s="166">
        <v>0</v>
      </c>
      <c r="D51" s="266" t="s">
        <v>183</v>
      </c>
      <c r="E51" s="168">
        <v>0</v>
      </c>
      <c r="F51" s="167">
        <v>0.13338686543931746</v>
      </c>
    </row>
    <row r="52" spans="1:17" x14ac:dyDescent="0.35">
      <c r="A52" s="161">
        <v>61300</v>
      </c>
      <c r="B52" s="177"/>
      <c r="C52" s="166">
        <v>1</v>
      </c>
      <c r="D52" s="266" t="s">
        <v>5</v>
      </c>
      <c r="E52" s="167">
        <v>0.64242816030932615</v>
      </c>
      <c r="F52" s="167">
        <v>2.1290624317160198E-2</v>
      </c>
    </row>
    <row r="53" spans="1:17" x14ac:dyDescent="0.35">
      <c r="A53" s="161">
        <v>61301</v>
      </c>
      <c r="B53" s="177"/>
      <c r="C53" s="166">
        <v>1</v>
      </c>
      <c r="D53" s="266" t="s">
        <v>5</v>
      </c>
      <c r="E53" s="167">
        <v>8.3756911751028243E-2</v>
      </c>
      <c r="F53" s="167">
        <v>9.5196230042069188E-2</v>
      </c>
    </row>
    <row r="54" spans="1:17" x14ac:dyDescent="0.35">
      <c r="A54" s="161">
        <v>61302</v>
      </c>
      <c r="B54" s="177"/>
      <c r="C54" s="166">
        <v>0</v>
      </c>
      <c r="D54" s="266" t="s">
        <v>5</v>
      </c>
      <c r="E54" s="167">
        <v>1.3535672183547559E-2</v>
      </c>
      <c r="F54" s="167">
        <v>0.19941155850833517</v>
      </c>
    </row>
    <row r="55" spans="1:17" x14ac:dyDescent="0.35">
      <c r="A55" s="161">
        <v>61303</v>
      </c>
      <c r="B55" s="177"/>
      <c r="C55" s="166">
        <v>1</v>
      </c>
      <c r="D55" s="266" t="s">
        <v>182</v>
      </c>
      <c r="E55" s="167">
        <v>0.19516453792275409</v>
      </c>
      <c r="F55" s="167">
        <v>0.1391715948956484</v>
      </c>
    </row>
    <row r="56" spans="1:17" x14ac:dyDescent="0.35">
      <c r="A56" s="161">
        <v>61304</v>
      </c>
      <c r="B56" s="177"/>
      <c r="C56" s="166">
        <v>1</v>
      </c>
      <c r="D56" s="266" t="s">
        <v>5</v>
      </c>
      <c r="E56" s="167">
        <v>0.54077744504490466</v>
      </c>
      <c r="F56" s="167">
        <v>0.18894957729665335</v>
      </c>
    </row>
    <row r="57" spans="1:17" x14ac:dyDescent="0.35">
      <c r="A57" s="161">
        <v>61305</v>
      </c>
      <c r="B57" s="177"/>
      <c r="C57" s="166">
        <v>1</v>
      </c>
      <c r="D57" s="266" t="s">
        <v>5</v>
      </c>
      <c r="E57" s="167">
        <v>3.3720829957212865E-2</v>
      </c>
      <c r="F57" s="167">
        <v>-5.6338861436387644E-3</v>
      </c>
    </row>
    <row r="58" spans="1:17" x14ac:dyDescent="0.35">
      <c r="A58" s="161">
        <v>61306</v>
      </c>
      <c r="B58" s="177"/>
      <c r="C58" s="166">
        <v>1</v>
      </c>
      <c r="D58" s="266" t="s">
        <v>5</v>
      </c>
      <c r="E58" s="167">
        <v>4.4243467883844395E-2</v>
      </c>
      <c r="F58" s="167">
        <v>-0.11817361698549111</v>
      </c>
    </row>
    <row r="59" spans="1:17" x14ac:dyDescent="0.35">
      <c r="A59" s="161">
        <v>61307</v>
      </c>
      <c r="B59" s="177"/>
      <c r="C59" s="166">
        <v>1</v>
      </c>
      <c r="D59" s="266" t="s">
        <v>5</v>
      </c>
      <c r="E59" s="167">
        <v>1.7434653551552757E-3</v>
      </c>
      <c r="F59" s="167">
        <v>-1.0142983092013234</v>
      </c>
    </row>
    <row r="60" spans="1:17" x14ac:dyDescent="0.35">
      <c r="A60" s="174">
        <v>61308</v>
      </c>
      <c r="B60" s="178"/>
      <c r="C60" s="172">
        <v>1</v>
      </c>
      <c r="D60" s="267" t="s">
        <v>185</v>
      </c>
      <c r="E60" s="168">
        <v>5.3477144260389825E-2</v>
      </c>
      <c r="F60" s="168">
        <v>7.6681183362765346E-2</v>
      </c>
    </row>
    <row r="61" spans="1:17" x14ac:dyDescent="0.35">
      <c r="A61" s="161">
        <v>61309</v>
      </c>
      <c r="B61" s="177"/>
      <c r="C61" s="166">
        <v>1</v>
      </c>
      <c r="D61" s="266" t="s">
        <v>5</v>
      </c>
      <c r="E61" s="167">
        <v>0.18490582398647973</v>
      </c>
      <c r="F61" s="167">
        <v>3.0532389240096941E-3</v>
      </c>
    </row>
    <row r="62" spans="1:17" x14ac:dyDescent="0.35">
      <c r="A62" s="161">
        <v>61310</v>
      </c>
      <c r="B62" s="177"/>
      <c r="C62" s="166">
        <v>1</v>
      </c>
      <c r="D62" s="266" t="s">
        <v>5</v>
      </c>
      <c r="E62" s="167">
        <v>7.0289445222765271E-2</v>
      </c>
      <c r="F62" s="167">
        <v>0.15552177843847043</v>
      </c>
    </row>
    <row r="63" spans="1:17" x14ac:dyDescent="0.35">
      <c r="A63" s="161">
        <v>61311</v>
      </c>
      <c r="B63" s="177"/>
      <c r="C63" s="166">
        <v>1</v>
      </c>
      <c r="D63" s="266" t="s">
        <v>5</v>
      </c>
      <c r="E63" s="167">
        <v>4.8439890754315519E-2</v>
      </c>
      <c r="F63" s="167">
        <v>2.1688428037734256E-2</v>
      </c>
    </row>
    <row r="64" spans="1:17" x14ac:dyDescent="0.35">
      <c r="A64" s="161">
        <v>61312</v>
      </c>
      <c r="B64" s="177"/>
      <c r="C64" s="166">
        <v>0</v>
      </c>
      <c r="D64" s="266" t="s">
        <v>5</v>
      </c>
      <c r="E64" s="167">
        <v>0.13815657473472229</v>
      </c>
      <c r="F64" s="167">
        <v>-2.4233592403150452E-2</v>
      </c>
    </row>
    <row r="65" spans="1:7" x14ac:dyDescent="0.35">
      <c r="A65" s="161">
        <v>61313</v>
      </c>
      <c r="B65" s="177"/>
      <c r="C65" s="166">
        <v>1</v>
      </c>
      <c r="D65" s="266" t="s">
        <v>5</v>
      </c>
      <c r="E65" s="167">
        <v>7.3533567747934667E-2</v>
      </c>
      <c r="F65" s="167">
        <v>4.1316954669095747E-3</v>
      </c>
    </row>
    <row r="66" spans="1:7" x14ac:dyDescent="0.35">
      <c r="A66" s="174">
        <v>61314</v>
      </c>
      <c r="B66" s="178"/>
      <c r="C66" s="172">
        <v>1</v>
      </c>
      <c r="D66" s="267" t="s">
        <v>5</v>
      </c>
      <c r="E66" s="168">
        <v>0.17238681394433022</v>
      </c>
      <c r="F66" s="168">
        <v>-1.928621277866906E-4</v>
      </c>
      <c r="G66" s="11" t="s">
        <v>193</v>
      </c>
    </row>
    <row r="67" spans="1:7" x14ac:dyDescent="0.35">
      <c r="A67" s="174">
        <v>61315</v>
      </c>
      <c r="B67" s="178"/>
      <c r="C67" s="172">
        <v>1</v>
      </c>
      <c r="D67" s="267" t="s">
        <v>5</v>
      </c>
      <c r="E67" s="168">
        <v>8.9745529968764101E-2</v>
      </c>
      <c r="F67" s="168" t="s">
        <v>194</v>
      </c>
      <c r="G67" s="11" t="s">
        <v>195</v>
      </c>
    </row>
    <row r="68" spans="1:7" x14ac:dyDescent="0.35">
      <c r="A68" s="161">
        <v>61316</v>
      </c>
      <c r="B68" s="177"/>
      <c r="C68" s="166">
        <v>1</v>
      </c>
      <c r="D68" s="266" t="s">
        <v>5</v>
      </c>
      <c r="E68" s="167">
        <v>0.44467410624399606</v>
      </c>
      <c r="F68" s="167">
        <v>8.0963415234096923E-3</v>
      </c>
    </row>
    <row r="69" spans="1:7" x14ac:dyDescent="0.35">
      <c r="A69" s="161">
        <v>61317</v>
      </c>
      <c r="B69" s="177"/>
      <c r="C69" s="166">
        <v>1</v>
      </c>
      <c r="D69" s="266" t="s">
        <v>5</v>
      </c>
      <c r="E69" s="167">
        <v>0.15724011835087937</v>
      </c>
      <c r="F69" s="167">
        <v>-1.626769979312007E-2</v>
      </c>
    </row>
    <row r="70" spans="1:7" x14ac:dyDescent="0.35">
      <c r="A70" s="161">
        <v>61318</v>
      </c>
      <c r="B70" s="177"/>
      <c r="C70" s="166">
        <v>1</v>
      </c>
      <c r="D70" s="266" t="s">
        <v>5</v>
      </c>
      <c r="E70" s="167">
        <v>0.61832352726217887</v>
      </c>
      <c r="F70" s="167" t="s">
        <v>194</v>
      </c>
      <c r="G70" s="11" t="s">
        <v>195</v>
      </c>
    </row>
    <row r="71" spans="1:7" x14ac:dyDescent="0.35">
      <c r="A71" s="161">
        <v>61319</v>
      </c>
      <c r="B71" s="177"/>
      <c r="C71" s="166">
        <v>1</v>
      </c>
      <c r="D71" s="266" t="s">
        <v>5</v>
      </c>
      <c r="E71" s="167">
        <v>0.20536672789820529</v>
      </c>
      <c r="F71" s="167">
        <v>-0.17420085254531092</v>
      </c>
    </row>
    <row r="72" spans="1:7" x14ac:dyDescent="0.35">
      <c r="A72" s="161">
        <v>61320</v>
      </c>
      <c r="B72" s="177"/>
      <c r="C72" s="166">
        <v>1</v>
      </c>
      <c r="D72" s="266" t="s">
        <v>5</v>
      </c>
      <c r="E72" s="167">
        <v>9.4825119088115292E-2</v>
      </c>
      <c r="F72" s="167">
        <v>0.15106900017381225</v>
      </c>
    </row>
    <row r="73" spans="1:7" x14ac:dyDescent="0.35">
      <c r="A73" s="161">
        <v>61321</v>
      </c>
      <c r="B73" s="177"/>
      <c r="C73" s="166">
        <v>1</v>
      </c>
      <c r="D73" s="266" t="s">
        <v>5</v>
      </c>
      <c r="E73" s="167">
        <v>0.12935331976940842</v>
      </c>
      <c r="F73" s="167">
        <v>0.19597342433899134</v>
      </c>
    </row>
    <row r="74" spans="1:7" x14ac:dyDescent="0.35">
      <c r="A74" s="161">
        <v>61322</v>
      </c>
      <c r="B74" s="177"/>
      <c r="C74" s="166">
        <v>1</v>
      </c>
      <c r="D74" s="266" t="s">
        <v>5</v>
      </c>
      <c r="E74" s="167">
        <v>0.12933434079312289</v>
      </c>
      <c r="F74" s="167">
        <v>0.10652739717939033</v>
      </c>
    </row>
    <row r="75" spans="1:7" x14ac:dyDescent="0.35">
      <c r="A75" s="161">
        <v>61323</v>
      </c>
      <c r="B75" s="177"/>
      <c r="C75" s="166">
        <v>1</v>
      </c>
      <c r="D75" s="266" t="s">
        <v>5</v>
      </c>
      <c r="E75" s="167">
        <v>0.21402462850074408</v>
      </c>
      <c r="F75" s="167">
        <v>5.3297132079094735E-2</v>
      </c>
    </row>
    <row r="76" spans="1:7" x14ac:dyDescent="0.35">
      <c r="A76" s="161">
        <v>61324</v>
      </c>
      <c r="B76" s="177"/>
      <c r="C76" s="166">
        <v>1</v>
      </c>
      <c r="D76" s="266" t="s">
        <v>5</v>
      </c>
      <c r="E76" s="167">
        <v>0.10759563435648094</v>
      </c>
      <c r="F76" s="167">
        <v>3.1924780851607666E-2</v>
      </c>
    </row>
    <row r="77" spans="1:7" x14ac:dyDescent="0.35">
      <c r="A77" s="161">
        <v>61325</v>
      </c>
      <c r="B77" s="177"/>
      <c r="C77" s="166">
        <v>1</v>
      </c>
      <c r="D77" s="266" t="s">
        <v>5</v>
      </c>
      <c r="E77" s="167">
        <v>6.6088470541984703E-2</v>
      </c>
      <c r="F77" s="167">
        <v>1.0142185421983158E-2</v>
      </c>
    </row>
    <row r="78" spans="1:7" x14ac:dyDescent="0.35">
      <c r="A78" s="161">
        <v>61326</v>
      </c>
      <c r="B78" s="177"/>
      <c r="C78" s="166">
        <v>0</v>
      </c>
      <c r="D78" s="266" t="s">
        <v>183</v>
      </c>
      <c r="E78" s="167">
        <v>8.8011012745548289E-2</v>
      </c>
      <c r="F78" s="167">
        <v>0.13338686543931746</v>
      </c>
    </row>
    <row r="79" spans="1:7" x14ac:dyDescent="0.35">
      <c r="A79" s="161">
        <v>61327</v>
      </c>
      <c r="B79" s="177"/>
      <c r="C79" s="166">
        <v>1</v>
      </c>
      <c r="D79" s="266" t="s">
        <v>5</v>
      </c>
      <c r="E79" s="167">
        <v>0.27115672946104286</v>
      </c>
      <c r="F79" s="167">
        <v>3.6968078773156041E-2</v>
      </c>
    </row>
    <row r="80" spans="1:7" x14ac:dyDescent="0.35">
      <c r="A80" s="161">
        <v>61328</v>
      </c>
      <c r="B80" s="177"/>
      <c r="C80" s="166">
        <v>1</v>
      </c>
      <c r="D80" s="266" t="s">
        <v>5</v>
      </c>
      <c r="E80" s="167">
        <v>0.1363878609089455</v>
      </c>
      <c r="F80" s="167">
        <v>9.7125587747801355E-3</v>
      </c>
    </row>
    <row r="81" spans="1:6" x14ac:dyDescent="0.35">
      <c r="A81" s="161">
        <v>61336</v>
      </c>
      <c r="B81" s="177"/>
      <c r="C81" s="166">
        <v>1</v>
      </c>
      <c r="D81" s="266" t="s">
        <v>5</v>
      </c>
      <c r="E81" s="167">
        <v>0.30177894149848539</v>
      </c>
      <c r="F81" s="167">
        <v>1.2552817917748304E-2</v>
      </c>
    </row>
    <row r="82" spans="1:6" x14ac:dyDescent="0.35">
      <c r="A82" s="161">
        <v>61343</v>
      </c>
      <c r="B82" s="177"/>
      <c r="C82" s="166">
        <v>1</v>
      </c>
      <c r="D82" s="266" t="s">
        <v>5</v>
      </c>
      <c r="E82" s="167">
        <v>7.4639563652721549E-2</v>
      </c>
      <c r="F82" s="167">
        <v>0.2336457640398327</v>
      </c>
    </row>
    <row r="83" spans="1:6" x14ac:dyDescent="0.35">
      <c r="A83" s="161">
        <v>61344</v>
      </c>
      <c r="B83" s="177"/>
      <c r="C83" s="166">
        <v>1</v>
      </c>
      <c r="D83" s="266" t="s">
        <v>188</v>
      </c>
      <c r="E83" s="167">
        <v>0.2930348619610243</v>
      </c>
      <c r="F83" s="167">
        <v>0.17725698774685558</v>
      </c>
    </row>
    <row r="84" spans="1:6" x14ac:dyDescent="0.35">
      <c r="A84" s="161">
        <v>63301</v>
      </c>
      <c r="B84" s="177"/>
      <c r="C84" s="166">
        <v>2</v>
      </c>
      <c r="D84" s="266" t="s">
        <v>1</v>
      </c>
      <c r="E84" s="167">
        <v>0.5121110670162643</v>
      </c>
      <c r="F84" s="167">
        <v>0.11620051758238857</v>
      </c>
    </row>
    <row r="85" spans="1:6" x14ac:dyDescent="0.35">
      <c r="A85" s="161">
        <v>63303</v>
      </c>
      <c r="B85" s="177"/>
      <c r="C85" s="166">
        <v>2</v>
      </c>
      <c r="D85" s="266" t="s">
        <v>1</v>
      </c>
      <c r="E85" s="167">
        <v>0.5369802317655078</v>
      </c>
      <c r="F85" s="167">
        <v>0.1052303061391397</v>
      </c>
    </row>
    <row r="86" spans="1:6" x14ac:dyDescent="0.35">
      <c r="E86" s="173"/>
    </row>
  </sheetData>
  <sortState xmlns:xlrd2="http://schemas.microsoft.com/office/spreadsheetml/2017/richdata2" ref="J2:Q49">
    <sortCondition ref="M2:M49"/>
  </sortState>
  <mergeCells count="1">
    <mergeCell ref="H4:P19"/>
  </mergeCells>
  <pageMargins left="0.7" right="0.7" top="0.75" bottom="0.75" header="0.3" footer="0.3"/>
  <pageSetup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D3A6C2-D8D3-4608-9951-449C8C9FB9B9}">
  <sheetPr>
    <tabColor rgb="FF00B050"/>
  </sheetPr>
  <dimension ref="A1:H38"/>
  <sheetViews>
    <sheetView workbookViewId="0">
      <selection activeCell="A5" sqref="A5"/>
    </sheetView>
  </sheetViews>
  <sheetFormatPr defaultColWidth="8.81640625" defaultRowHeight="14.5" x14ac:dyDescent="0.35"/>
  <cols>
    <col min="1" max="1" width="28.6328125" style="11" customWidth="1"/>
    <col min="2" max="2" width="22.453125" style="11" customWidth="1"/>
    <col min="3" max="3" width="23.1796875" style="11" customWidth="1"/>
    <col min="4" max="4" width="34" style="11" customWidth="1"/>
    <col min="5" max="7" width="24.36328125" style="11" customWidth="1"/>
    <col min="8" max="8" width="30.90625" style="11" customWidth="1"/>
    <col min="9" max="16384" width="8.81640625" style="11"/>
  </cols>
  <sheetData>
    <row r="1" spans="1:8" s="257" customFormat="1" ht="17.399999999999999" customHeight="1" x14ac:dyDescent="0.35">
      <c r="A1" s="358" t="s">
        <v>197</v>
      </c>
      <c r="B1" s="358"/>
      <c r="C1" s="358"/>
      <c r="D1" s="358"/>
    </row>
    <row r="2" spans="1:8" x14ac:dyDescent="0.35">
      <c r="A2" s="358"/>
      <c r="B2" s="358"/>
      <c r="C2" s="358"/>
      <c r="D2" s="358"/>
    </row>
    <row r="3" spans="1:8" x14ac:dyDescent="0.35">
      <c r="A3" s="359"/>
      <c r="B3" s="361" t="s">
        <v>198</v>
      </c>
      <c r="C3" s="361"/>
      <c r="D3" s="231" t="s">
        <v>199</v>
      </c>
    </row>
    <row r="4" spans="1:8" x14ac:dyDescent="0.35">
      <c r="A4" s="360"/>
      <c r="B4" s="232" t="s">
        <v>200</v>
      </c>
      <c r="C4" s="232" t="s">
        <v>201</v>
      </c>
      <c r="D4" s="231" t="s">
        <v>242</v>
      </c>
    </row>
    <row r="5" spans="1:8" x14ac:dyDescent="0.35">
      <c r="A5" s="233" t="s">
        <v>202</v>
      </c>
      <c r="B5" s="234">
        <f>A18</f>
        <v>4138.24</v>
      </c>
      <c r="C5" s="234">
        <f>A23</f>
        <v>3795.42</v>
      </c>
      <c r="D5" s="234">
        <v>3795.42</v>
      </c>
    </row>
    <row r="6" spans="1:8" x14ac:dyDescent="0.35">
      <c r="A6" s="233" t="s">
        <v>203</v>
      </c>
      <c r="B6" s="234">
        <f>B18</f>
        <v>1983.41</v>
      </c>
      <c r="C6" s="234">
        <f>B23</f>
        <v>2326.23</v>
      </c>
      <c r="D6" s="234">
        <v>2326.23</v>
      </c>
    </row>
    <row r="7" spans="1:8" x14ac:dyDescent="0.35">
      <c r="A7" s="233" t="s">
        <v>204</v>
      </c>
      <c r="B7" s="235">
        <f>B33</f>
        <v>472.59</v>
      </c>
      <c r="C7" s="235">
        <f>B33</f>
        <v>472.59</v>
      </c>
      <c r="D7" s="235">
        <v>472.59</v>
      </c>
    </row>
    <row r="8" spans="1:8" x14ac:dyDescent="0.35">
      <c r="A8" s="236" t="s">
        <v>205</v>
      </c>
      <c r="B8" s="237">
        <f>SUM(B5:B7)</f>
        <v>6594.24</v>
      </c>
      <c r="C8" s="237">
        <f t="shared" ref="C8:D8" si="0">SUM(C5:C7)</f>
        <v>6594.24</v>
      </c>
      <c r="D8" s="237">
        <f t="shared" si="0"/>
        <v>6594.24</v>
      </c>
    </row>
    <row r="10" spans="1:8" ht="50.4" customHeight="1" x14ac:dyDescent="0.35">
      <c r="A10" s="362" t="s">
        <v>206</v>
      </c>
      <c r="B10" s="362"/>
      <c r="C10" s="362"/>
      <c r="D10" s="362"/>
    </row>
    <row r="11" spans="1:8" x14ac:dyDescent="0.35">
      <c r="A11" s="35" t="s">
        <v>233</v>
      </c>
    </row>
    <row r="12" spans="1:8" x14ac:dyDescent="0.35">
      <c r="A12" s="238"/>
    </row>
    <row r="13" spans="1:8" ht="21" x14ac:dyDescent="0.5">
      <c r="A13" s="164" t="s">
        <v>4</v>
      </c>
    </row>
    <row r="14" spans="1:8" ht="15.5" x14ac:dyDescent="0.35">
      <c r="A14" s="357" t="s">
        <v>207</v>
      </c>
      <c r="B14" s="357"/>
      <c r="C14" s="357"/>
      <c r="D14" s="357"/>
      <c r="E14" s="357"/>
      <c r="F14" s="357"/>
      <c r="G14" s="357"/>
      <c r="H14" s="357"/>
    </row>
    <row r="15" spans="1:8" ht="19.25" customHeight="1" x14ac:dyDescent="0.35">
      <c r="A15" s="343" t="s">
        <v>208</v>
      </c>
      <c r="B15" s="344"/>
      <c r="C15" s="344"/>
      <c r="D15" s="344"/>
      <c r="E15" s="344"/>
      <c r="F15" s="344"/>
      <c r="G15" s="344"/>
      <c r="H15" s="344"/>
    </row>
    <row r="16" spans="1:8" ht="43.25" customHeight="1" x14ac:dyDescent="0.35">
      <c r="A16" s="354" t="s">
        <v>209</v>
      </c>
      <c r="B16" s="355"/>
      <c r="C16" s="345" t="s">
        <v>210</v>
      </c>
      <c r="D16" s="353"/>
      <c r="E16" s="352" t="s">
        <v>211</v>
      </c>
      <c r="F16" s="353"/>
      <c r="G16" s="352" t="s">
        <v>212</v>
      </c>
      <c r="H16" s="353"/>
    </row>
    <row r="17" spans="1:8" ht="16.75" customHeight="1" x14ac:dyDescent="0.35">
      <c r="A17" s="239" t="s">
        <v>213</v>
      </c>
      <c r="B17" s="240" t="s">
        <v>214</v>
      </c>
      <c r="C17" s="241" t="s">
        <v>213</v>
      </c>
      <c r="D17" s="242" t="s">
        <v>214</v>
      </c>
      <c r="E17" s="241" t="s">
        <v>213</v>
      </c>
      <c r="F17" s="242" t="s">
        <v>214</v>
      </c>
      <c r="G17" s="241" t="s">
        <v>213</v>
      </c>
      <c r="H17" s="242" t="s">
        <v>214</v>
      </c>
    </row>
    <row r="18" spans="1:8" ht="15.5" x14ac:dyDescent="0.35">
      <c r="A18" s="243">
        <v>4138.24</v>
      </c>
      <c r="B18" s="243">
        <v>1983.41</v>
      </c>
      <c r="C18" s="244">
        <v>4056.08</v>
      </c>
      <c r="D18" s="244">
        <v>1944.03</v>
      </c>
      <c r="E18" s="245">
        <v>4110.8500000000004</v>
      </c>
      <c r="F18" s="245">
        <v>1970.28</v>
      </c>
      <c r="G18" s="244">
        <v>4028.7</v>
      </c>
      <c r="H18" s="244">
        <v>1930.91</v>
      </c>
    </row>
    <row r="19" spans="1:8" x14ac:dyDescent="0.35">
      <c r="A19" s="246"/>
      <c r="B19" s="246"/>
      <c r="C19" s="246"/>
      <c r="D19" s="246"/>
      <c r="E19" s="246"/>
      <c r="F19" s="246"/>
      <c r="G19" s="246"/>
      <c r="H19" s="246"/>
    </row>
    <row r="20" spans="1:8" ht="18.649999999999999" customHeight="1" x14ac:dyDescent="0.35">
      <c r="A20" s="343" t="s">
        <v>215</v>
      </c>
      <c r="B20" s="344"/>
      <c r="C20" s="344"/>
      <c r="D20" s="344"/>
      <c r="E20" s="344"/>
      <c r="F20" s="344"/>
      <c r="G20" s="344"/>
      <c r="H20" s="344"/>
    </row>
    <row r="21" spans="1:8" ht="49.75" customHeight="1" x14ac:dyDescent="0.35">
      <c r="A21" s="354" t="s">
        <v>209</v>
      </c>
      <c r="B21" s="355"/>
      <c r="C21" s="345" t="s">
        <v>210</v>
      </c>
      <c r="D21" s="353"/>
      <c r="E21" s="352" t="s">
        <v>211</v>
      </c>
      <c r="F21" s="353"/>
      <c r="G21" s="352" t="s">
        <v>212</v>
      </c>
      <c r="H21" s="353"/>
    </row>
    <row r="22" spans="1:8" ht="15" customHeight="1" x14ac:dyDescent="0.35">
      <c r="A22" s="239" t="s">
        <v>213</v>
      </c>
      <c r="B22" s="240" t="s">
        <v>214</v>
      </c>
      <c r="C22" s="241" t="s">
        <v>213</v>
      </c>
      <c r="D22" s="242" t="s">
        <v>214</v>
      </c>
      <c r="E22" s="241" t="s">
        <v>213</v>
      </c>
      <c r="F22" s="242" t="s">
        <v>214</v>
      </c>
      <c r="G22" s="241" t="s">
        <v>213</v>
      </c>
      <c r="H22" s="242" t="s">
        <v>214</v>
      </c>
    </row>
    <row r="23" spans="1:8" ht="15.5" x14ac:dyDescent="0.35">
      <c r="A23" s="243">
        <v>3795.42</v>
      </c>
      <c r="B23" s="243">
        <v>2326.23</v>
      </c>
      <c r="C23" s="244">
        <v>3720.07</v>
      </c>
      <c r="D23" s="244">
        <v>2280.04</v>
      </c>
      <c r="E23" s="244">
        <v>3770.3</v>
      </c>
      <c r="F23" s="244">
        <v>2310.83</v>
      </c>
      <c r="G23" s="244">
        <v>3694.96</v>
      </c>
      <c r="H23" s="244">
        <v>2264.65</v>
      </c>
    </row>
    <row r="24" spans="1:8" x14ac:dyDescent="0.35">
      <c r="A24" s="247"/>
      <c r="B24" s="247"/>
      <c r="C24" s="247"/>
      <c r="D24" s="246"/>
      <c r="E24" s="246"/>
      <c r="F24" s="246"/>
      <c r="G24" s="246"/>
      <c r="H24" s="246"/>
    </row>
    <row r="25" spans="1:8" x14ac:dyDescent="0.35">
      <c r="A25" s="356" t="s">
        <v>216</v>
      </c>
      <c r="B25" s="344"/>
      <c r="C25" s="344"/>
      <c r="D25" s="344"/>
      <c r="E25" s="344"/>
      <c r="F25" s="344"/>
      <c r="G25" s="344"/>
      <c r="H25" s="248"/>
    </row>
    <row r="26" spans="1:8" x14ac:dyDescent="0.35">
      <c r="A26" s="249"/>
      <c r="B26" s="351" t="s">
        <v>217</v>
      </c>
      <c r="C26" s="351"/>
      <c r="D26" s="352" t="s">
        <v>218</v>
      </c>
      <c r="E26" s="347"/>
      <c r="F26" s="352" t="s">
        <v>219</v>
      </c>
      <c r="G26" s="353"/>
      <c r="H26" s="248"/>
    </row>
    <row r="27" spans="1:8" x14ac:dyDescent="0.35">
      <c r="A27" s="249"/>
      <c r="B27" s="241" t="s">
        <v>220</v>
      </c>
      <c r="C27" s="241" t="s">
        <v>221</v>
      </c>
      <c r="D27" s="241" t="s">
        <v>220</v>
      </c>
      <c r="E27" s="241" t="s">
        <v>221</v>
      </c>
      <c r="F27" s="241" t="s">
        <v>220</v>
      </c>
      <c r="G27" s="241" t="s">
        <v>221</v>
      </c>
      <c r="H27" s="248"/>
    </row>
    <row r="28" spans="1:8" ht="16" thickBot="1" x14ac:dyDescent="0.4">
      <c r="A28" s="249" t="s">
        <v>222</v>
      </c>
      <c r="B28" s="250" t="s">
        <v>223</v>
      </c>
      <c r="C28" s="250" t="s">
        <v>223</v>
      </c>
      <c r="D28" s="251">
        <v>3795.42</v>
      </c>
      <c r="E28" s="251">
        <v>2326.23</v>
      </c>
      <c r="F28" s="251">
        <v>3770.3</v>
      </c>
      <c r="G28" s="251">
        <v>2310.83</v>
      </c>
      <c r="H28" s="248"/>
    </row>
    <row r="29" spans="1:8" x14ac:dyDescent="0.35">
      <c r="A29" s="338" t="s">
        <v>224</v>
      </c>
      <c r="B29" s="338"/>
      <c r="C29" s="338"/>
      <c r="D29" s="338"/>
      <c r="E29" s="338"/>
      <c r="F29" s="248"/>
      <c r="G29" s="248"/>
      <c r="H29" s="248"/>
    </row>
    <row r="30" spans="1:8" x14ac:dyDescent="0.35">
      <c r="A30" s="247"/>
      <c r="B30" s="247"/>
      <c r="C30" s="248"/>
      <c r="D30" s="248"/>
      <c r="E30" s="248"/>
      <c r="F30" s="248"/>
    </row>
    <row r="31" spans="1:8" ht="30.65" customHeight="1" x14ac:dyDescent="0.35">
      <c r="A31" s="339" t="s">
        <v>225</v>
      </c>
      <c r="B31" s="339"/>
      <c r="C31" s="248"/>
      <c r="D31" s="248"/>
      <c r="E31" s="248"/>
      <c r="F31" s="248"/>
    </row>
    <row r="32" spans="1:8" x14ac:dyDescent="0.35">
      <c r="A32" s="252"/>
      <c r="B32" s="241" t="s">
        <v>226</v>
      </c>
      <c r="C32" s="248"/>
      <c r="D32" s="248"/>
      <c r="E32" s="248"/>
      <c r="F32" s="248"/>
    </row>
    <row r="33" spans="1:6" x14ac:dyDescent="0.35">
      <c r="A33" s="253" t="s">
        <v>227</v>
      </c>
      <c r="B33" s="254">
        <v>472.59</v>
      </c>
      <c r="C33" s="248"/>
      <c r="D33" s="248"/>
      <c r="E33" s="248"/>
      <c r="F33" s="248"/>
    </row>
    <row r="34" spans="1:6" x14ac:dyDescent="0.35">
      <c r="A34" s="340"/>
      <c r="B34" s="341"/>
      <c r="C34" s="341"/>
      <c r="D34" s="341"/>
      <c r="E34" s="341"/>
      <c r="F34" s="342"/>
    </row>
    <row r="35" spans="1:6" x14ac:dyDescent="0.35">
      <c r="A35" s="343" t="s">
        <v>228</v>
      </c>
      <c r="B35" s="344"/>
      <c r="C35" s="344"/>
      <c r="D35" s="344"/>
      <c r="E35" s="344"/>
      <c r="F35" s="344"/>
    </row>
    <row r="36" spans="1:6" ht="26.5" x14ac:dyDescent="0.35">
      <c r="A36" s="345"/>
      <c r="B36" s="346"/>
      <c r="C36" s="346"/>
      <c r="D36" s="347"/>
      <c r="E36" s="241" t="s">
        <v>229</v>
      </c>
      <c r="F36" s="255" t="s">
        <v>230</v>
      </c>
    </row>
    <row r="37" spans="1:6" x14ac:dyDescent="0.35">
      <c r="A37" s="348" t="s">
        <v>231</v>
      </c>
      <c r="B37" s="349"/>
      <c r="C37" s="349"/>
      <c r="D37" s="350"/>
      <c r="E37" s="256">
        <v>44713.67</v>
      </c>
      <c r="F37" s="256">
        <v>43836.08</v>
      </c>
    </row>
    <row r="38" spans="1:6" x14ac:dyDescent="0.35">
      <c r="A38" s="335" t="s">
        <v>232</v>
      </c>
      <c r="B38" s="336"/>
      <c r="C38" s="336"/>
      <c r="D38" s="336"/>
      <c r="E38" s="336"/>
      <c r="F38" s="337"/>
    </row>
  </sheetData>
  <mergeCells count="26">
    <mergeCell ref="A14:H14"/>
    <mergeCell ref="A1:D2"/>
    <mergeCell ref="A3:A4"/>
    <mergeCell ref="B3:C3"/>
    <mergeCell ref="A10:D10"/>
    <mergeCell ref="B26:C26"/>
    <mergeCell ref="D26:E26"/>
    <mergeCell ref="F26:G26"/>
    <mergeCell ref="A15:H15"/>
    <mergeCell ref="A16:B16"/>
    <mergeCell ref="C16:D16"/>
    <mergeCell ref="E16:F16"/>
    <mergeCell ref="G16:H16"/>
    <mergeCell ref="A20:H20"/>
    <mergeCell ref="A21:B21"/>
    <mergeCell ref="C21:D21"/>
    <mergeCell ref="E21:F21"/>
    <mergeCell ref="G21:H21"/>
    <mergeCell ref="A25:G25"/>
    <mergeCell ref="A38:F38"/>
    <mergeCell ref="A29:E29"/>
    <mergeCell ref="A31:B31"/>
    <mergeCell ref="A34:F34"/>
    <mergeCell ref="A35:F35"/>
    <mergeCell ref="A36:D36"/>
    <mergeCell ref="A37:D37"/>
  </mergeCells>
  <hyperlinks>
    <hyperlink ref="A13" r:id="rId1" xr:uid="{49DCF66A-BBC9-447C-BC22-37CF334E9904}"/>
  </hyperlinks>
  <pageMargins left="0.7" right="0.7" top="0.75" bottom="0.75" header="0.3" footer="0.3"/>
  <pageSetup orientation="portrait" horizontalDpi="1200" verticalDpi="1200"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6A1CB451562074A872EB60B1C3A8905" ma:contentTypeVersion="12" ma:contentTypeDescription="Create a new document." ma:contentTypeScope="" ma:versionID="1748b1407bf08fe5bbd59e6d87c69cfe">
  <xsd:schema xmlns:xsd="http://www.w3.org/2001/XMLSchema" xmlns:xs="http://www.w3.org/2001/XMLSchema" xmlns:p="http://schemas.microsoft.com/office/2006/metadata/properties" xmlns:ns2="ed047ee6-5e39-463e-acdc-48ae8c519d73" xmlns:ns3="aecc8aa5-329f-4415-a30f-f9455747c8b8" xmlns:ns4="c5d67fbf-16ca-485d-b560-319cb2788658" targetNamespace="http://schemas.microsoft.com/office/2006/metadata/properties" ma:root="true" ma:fieldsID="c7ad39080c6a409eb701048a9a4b1b53" ns2:_="" ns3:_="" ns4:_="">
    <xsd:import namespace="ed047ee6-5e39-463e-acdc-48ae8c519d73"/>
    <xsd:import namespace="aecc8aa5-329f-4415-a30f-f9455747c8b8"/>
    <xsd:import namespace="c5d67fbf-16ca-485d-b560-319cb2788658"/>
    <xsd:element name="properties">
      <xsd:complexType>
        <xsd:sequence>
          <xsd:element name="documentManagement">
            <xsd:complexType>
              <xsd:all>
                <xsd:element ref="ns2:SharedWithUsers" minOccurs="0"/>
                <xsd:element ref="ns2:SharedWithDetails" minOccurs="0"/>
                <xsd:element ref="ns3:LastSharedByUser" minOccurs="0"/>
                <xsd:element ref="ns3:LastSharedByTime" minOccurs="0"/>
                <xsd:element ref="ns4:MediaServiceMetadata" minOccurs="0"/>
                <xsd:element ref="ns4:MediaServiceFastMetadata" minOccurs="0"/>
                <xsd:element ref="ns4:MediaServiceDateTaken" minOccurs="0"/>
                <xsd:element ref="ns4:MediaServiceAutoTags" minOccurs="0"/>
                <xsd:element ref="ns4:MediaServiceLocation" minOccurs="0"/>
                <xsd:element ref="ns4:MediaServiceOCR" minOccurs="0"/>
                <xsd:element ref="ns4:MediaServiceGenerationTime" minOccurs="0"/>
                <xsd:element ref="ns4: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d047ee6-5e39-463e-acdc-48ae8c519d73"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ecc8aa5-329f-4415-a30f-f9455747c8b8" elementFormDefault="qualified">
    <xsd:import namespace="http://schemas.microsoft.com/office/2006/documentManagement/types"/>
    <xsd:import namespace="http://schemas.microsoft.com/office/infopath/2007/PartnerControls"/>
    <xsd:element name="LastSharedByUser" ma:index="10" nillable="true" ma:displayName="Last Shared By User" ma:description="" ma:internalName="LastSharedByUser" ma:readOnly="true">
      <xsd:simpleType>
        <xsd:restriction base="dms:Note">
          <xsd:maxLength value="255"/>
        </xsd:restriction>
      </xsd:simpleType>
    </xsd:element>
    <xsd:element name="LastSharedByTime" ma:index="11"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5d67fbf-16ca-485d-b560-319cb2788658" elementFormDefault="qualified">
    <xsd:import namespace="http://schemas.microsoft.com/office/2006/documentManagement/types"/>
    <xsd:import namespace="http://schemas.microsoft.com/office/infopath/2007/PartnerControls"/>
    <xsd:element name="MediaServiceMetadata" ma:index="12" nillable="true" ma:displayName="MediaServiceMetadata" ma:description="" ma:hidden="true" ma:internalName="MediaServiceMetadata" ma:readOnly="true">
      <xsd:simpleType>
        <xsd:restriction base="dms:Note"/>
      </xsd:simpleType>
    </xsd:element>
    <xsd:element name="MediaServiceFastMetadata" ma:index="13" nillable="true" ma:displayName="MediaServiceFastMetadata" ma:description="" ma:hidden="true" ma:internalName="MediaServiceFastMetadata" ma:readOnly="true">
      <xsd:simpleType>
        <xsd:restriction base="dms:Note"/>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A024BC7-3FD0-48DE-AEAD-24BD10C52AD0}">
  <ds:schemaRefs>
    <ds:schemaRef ds:uri="http://schemas.microsoft.com/sharepoint/v3/contenttype/forms"/>
  </ds:schemaRefs>
</ds:datastoreItem>
</file>

<file path=customXml/itemProps2.xml><?xml version="1.0" encoding="utf-8"?>
<ds:datastoreItem xmlns:ds="http://schemas.openxmlformats.org/officeDocument/2006/customXml" ds:itemID="{7C61C006-AEBD-48B8-A245-CC4E5CD90225}">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72EEDFFC-7CBD-4D70-ACEC-BAB9E245170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d047ee6-5e39-463e-acdc-48ae8c519d73"/>
    <ds:schemaRef ds:uri="aecc8aa5-329f-4415-a30f-f9455747c8b8"/>
    <ds:schemaRef ds:uri="c5d67fbf-16ca-485d-b560-319cb278865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About This Model</vt:lpstr>
      <vt:lpstr>Fed Bs Rt+IME+GME+VBP+RAA+HAC</vt:lpstr>
      <vt:lpstr>New Rates</vt:lpstr>
      <vt:lpstr>Low Discharge</vt:lpstr>
      <vt:lpstr>Characteristics</vt:lpstr>
      <vt:lpstr> FY 2022 CN Tables 1A-1E </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Tom Marks</dc:creator>
  <cp:keywords/>
  <dc:description/>
  <cp:lastModifiedBy>Jackson, Nicola</cp:lastModifiedBy>
  <cp:revision/>
  <dcterms:created xsi:type="dcterms:W3CDTF">2022-03-27T11:56:40Z</dcterms:created>
  <dcterms:modified xsi:type="dcterms:W3CDTF">2022-10-10T14:23:26Z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0x01010056A1CB451562074A872EB60B1C3A8905</vt:lpwstr>
  </property>
</Properties>
</file>